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LEGIOS 2024\I.E ITA\"/>
    </mc:Choice>
  </mc:AlternateContent>
  <xr:revisionPtr revIDLastSave="0" documentId="13_ncr:1_{A87A512F-521C-46F5-87E5-FD78EFF3CBD5}" xr6:coauthVersionLast="47" xr6:coauthVersionMax="47" xr10:uidLastSave="{00000000-0000-0000-0000-000000000000}"/>
  <bookViews>
    <workbookView xWindow="-120" yWindow="-120" windowWidth="20730" windowHeight="11160" firstSheet="3" activeTab="10" xr2:uid="{00000000-000D-0000-FFFF-FFFF00000000}"/>
  </bookViews>
  <sheets>
    <sheet name="ENERO" sheetId="8" r:id="rId1"/>
    <sheet name="FEBRERO" sheetId="9" r:id="rId2"/>
    <sheet name="MARZO" sheetId="10" r:id="rId3"/>
    <sheet name="ABRIL" sheetId="11" r:id="rId4"/>
    <sheet name="MAYO" sheetId="12" r:id="rId5"/>
    <sheet name="JUNIO" sheetId="13" r:id="rId6"/>
    <sheet name="JULIO" sheetId="14" r:id="rId7"/>
    <sheet name="AGOSTO" sheetId="15" r:id="rId8"/>
    <sheet name="SEPTIEMBRE" sheetId="16" r:id="rId9"/>
    <sheet name="OCTUBRE" sheetId="17" r:id="rId10"/>
    <sheet name="NOVIEMBRE" sheetId="18" r:id="rId11"/>
  </sheets>
  <externalReferences>
    <externalReference r:id="rId12"/>
  </externalReferences>
  <definedNames>
    <definedName name="AÑOS">'[1]mes,diaaño'!$C$2</definedName>
    <definedName name="dias">'[1]mes,diaaño'!$A$2:$A$32</definedName>
    <definedName name="MES">'[1]mes,diaaño'!$B$2:$B$13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8" l="1"/>
  <c r="J24" i="18"/>
  <c r="H24" i="18"/>
  <c r="G24" i="18"/>
  <c r="F24" i="18"/>
  <c r="M23" i="18"/>
  <c r="O23" i="18" s="1"/>
  <c r="I23" i="18"/>
  <c r="L23" i="18" s="1"/>
  <c r="N23" i="18" s="1"/>
  <c r="K22" i="18"/>
  <c r="M22" i="18" s="1"/>
  <c r="O22" i="18" s="1"/>
  <c r="I22" i="18"/>
  <c r="L22" i="18" s="1"/>
  <c r="N22" i="18" s="1"/>
  <c r="M21" i="18"/>
  <c r="O21" i="18" s="1"/>
  <c r="L21" i="18"/>
  <c r="N21" i="18" s="1"/>
  <c r="K21" i="18"/>
  <c r="I21" i="18"/>
  <c r="K20" i="18"/>
  <c r="M20" i="18" s="1"/>
  <c r="O20" i="18" s="1"/>
  <c r="I20" i="18"/>
  <c r="L20" i="18" s="1"/>
  <c r="N20" i="18" s="1"/>
  <c r="M19" i="18"/>
  <c r="O19" i="18" s="1"/>
  <c r="L19" i="18"/>
  <c r="N19" i="18" s="1"/>
  <c r="K19" i="18"/>
  <c r="I19" i="18"/>
  <c r="K18" i="18"/>
  <c r="M18" i="18" s="1"/>
  <c r="O18" i="18" s="1"/>
  <c r="I18" i="18"/>
  <c r="L18" i="18" s="1"/>
  <c r="N18" i="18" s="1"/>
  <c r="M17" i="18"/>
  <c r="O17" i="18" s="1"/>
  <c r="L17" i="18"/>
  <c r="N17" i="18" s="1"/>
  <c r="K17" i="18"/>
  <c r="I17" i="18"/>
  <c r="K16" i="18"/>
  <c r="M16" i="18" s="1"/>
  <c r="O16" i="18" s="1"/>
  <c r="I16" i="18"/>
  <c r="L16" i="18" s="1"/>
  <c r="N16" i="18" s="1"/>
  <c r="L15" i="18"/>
  <c r="N15" i="18" s="1"/>
  <c r="K15" i="18"/>
  <c r="I15" i="18"/>
  <c r="M15" i="18" s="1"/>
  <c r="O15" i="18" s="1"/>
  <c r="K14" i="18"/>
  <c r="I14" i="18"/>
  <c r="L14" i="18" s="1"/>
  <c r="N14" i="18" s="1"/>
  <c r="I13" i="18"/>
  <c r="L13" i="18" s="1"/>
  <c r="N13" i="18" s="1"/>
  <c r="M12" i="18"/>
  <c r="K12" i="18"/>
  <c r="I12" i="18"/>
  <c r="L12" i="18" s="1"/>
  <c r="K12" i="17"/>
  <c r="K22" i="17"/>
  <c r="K21" i="17"/>
  <c r="M21" i="17" s="1"/>
  <c r="O21" i="17" s="1"/>
  <c r="K20" i="17"/>
  <c r="M20" i="17" s="1"/>
  <c r="O20" i="17" s="1"/>
  <c r="K19" i="17"/>
  <c r="K18" i="17"/>
  <c r="L18" i="17" s="1"/>
  <c r="N18" i="17" s="1"/>
  <c r="K17" i="17"/>
  <c r="K16" i="17"/>
  <c r="K15" i="17"/>
  <c r="M15" i="17" s="1"/>
  <c r="O15" i="17" s="1"/>
  <c r="K14" i="17"/>
  <c r="M12" i="17"/>
  <c r="O12" i="17" s="1"/>
  <c r="H24" i="17"/>
  <c r="G24" i="17"/>
  <c r="F24" i="17"/>
  <c r="I23" i="17"/>
  <c r="M23" i="17" s="1"/>
  <c r="O23" i="17" s="1"/>
  <c r="I22" i="17"/>
  <c r="I21" i="17"/>
  <c r="I20" i="17"/>
  <c r="I19" i="17"/>
  <c r="I18" i="17"/>
  <c r="I17" i="17"/>
  <c r="I16" i="17"/>
  <c r="I15" i="17"/>
  <c r="J24" i="17"/>
  <c r="I14" i="17"/>
  <c r="I13" i="17"/>
  <c r="L13" i="17" s="1"/>
  <c r="N13" i="17" s="1"/>
  <c r="I12" i="17"/>
  <c r="K20" i="16"/>
  <c r="K18" i="16"/>
  <c r="K14" i="16"/>
  <c r="K12" i="16"/>
  <c r="J14" i="16"/>
  <c r="M14" i="18" l="1"/>
  <c r="O14" i="18" s="1"/>
  <c r="M13" i="18"/>
  <c r="O13" i="18" s="1"/>
  <c r="N12" i="18"/>
  <c r="N24" i="18" s="1"/>
  <c r="L24" i="18"/>
  <c r="O12" i="18"/>
  <c r="I24" i="18"/>
  <c r="M13" i="17"/>
  <c r="O13" i="17" s="1"/>
  <c r="L20" i="17"/>
  <c r="N20" i="17" s="1"/>
  <c r="M22" i="17"/>
  <c r="O22" i="17" s="1"/>
  <c r="L21" i="17"/>
  <c r="N21" i="17" s="1"/>
  <c r="M19" i="17"/>
  <c r="O19" i="17" s="1"/>
  <c r="M18" i="17"/>
  <c r="O18" i="17" s="1"/>
  <c r="M17" i="17"/>
  <c r="O17" i="17" s="1"/>
  <c r="M16" i="17"/>
  <c r="O16" i="17" s="1"/>
  <c r="L15" i="17"/>
  <c r="N15" i="17" s="1"/>
  <c r="L12" i="17"/>
  <c r="N12" i="17" s="1"/>
  <c r="L16" i="17"/>
  <c r="N16" i="17" s="1"/>
  <c r="L19" i="17"/>
  <c r="N19" i="17" s="1"/>
  <c r="L22" i="17"/>
  <c r="N22" i="17" s="1"/>
  <c r="I24" i="17"/>
  <c r="M14" i="17"/>
  <c r="L17" i="17"/>
  <c r="N17" i="17" s="1"/>
  <c r="L23" i="17"/>
  <c r="N23" i="17" s="1"/>
  <c r="H24" i="16"/>
  <c r="G24" i="16"/>
  <c r="F24" i="16"/>
  <c r="I23" i="16"/>
  <c r="M23" i="16" s="1"/>
  <c r="O23" i="16" s="1"/>
  <c r="I22" i="16"/>
  <c r="L22" i="16" s="1"/>
  <c r="N22" i="16" s="1"/>
  <c r="M21" i="16"/>
  <c r="O21" i="16" s="1"/>
  <c r="L21" i="16"/>
  <c r="N21" i="16" s="1"/>
  <c r="I21" i="16"/>
  <c r="M20" i="16"/>
  <c r="O20" i="16" s="1"/>
  <c r="I20" i="16"/>
  <c r="L20" i="16" s="1"/>
  <c r="N20" i="16" s="1"/>
  <c r="L19" i="16"/>
  <c r="N19" i="16" s="1"/>
  <c r="I19" i="16"/>
  <c r="M18" i="16"/>
  <c r="O18" i="16" s="1"/>
  <c r="I18" i="16"/>
  <c r="L18" i="16" s="1"/>
  <c r="N18" i="16" s="1"/>
  <c r="M17" i="16"/>
  <c r="O17" i="16" s="1"/>
  <c r="I17" i="16"/>
  <c r="M16" i="16"/>
  <c r="O16" i="16" s="1"/>
  <c r="I16" i="16"/>
  <c r="L16" i="16" s="1"/>
  <c r="N16" i="16" s="1"/>
  <c r="M15" i="16"/>
  <c r="O15" i="16" s="1"/>
  <c r="I15" i="16"/>
  <c r="M14" i="16"/>
  <c r="O14" i="16" s="1"/>
  <c r="I14" i="16"/>
  <c r="M13" i="16"/>
  <c r="O13" i="16" s="1"/>
  <c r="L13" i="16"/>
  <c r="N13" i="16" s="1"/>
  <c r="I13" i="16"/>
  <c r="J24" i="16"/>
  <c r="I12" i="16"/>
  <c r="M24" i="18" l="1"/>
  <c r="O24" i="18"/>
  <c r="L14" i="17"/>
  <c r="K24" i="17"/>
  <c r="O14" i="17"/>
  <c r="O24" i="17" s="1"/>
  <c r="M24" i="17"/>
  <c r="L14" i="16"/>
  <c r="N14" i="16" s="1"/>
  <c r="L15" i="16"/>
  <c r="N15" i="16" s="1"/>
  <c r="L17" i="16"/>
  <c r="N17" i="16" s="1"/>
  <c r="I24" i="16"/>
  <c r="M19" i="16"/>
  <c r="O19" i="16" s="1"/>
  <c r="M22" i="16"/>
  <c r="O22" i="16" s="1"/>
  <c r="L23" i="16"/>
  <c r="N23" i="16" s="1"/>
  <c r="J12" i="15"/>
  <c r="J14" i="15"/>
  <c r="N14" i="17" l="1"/>
  <c r="N24" i="17" s="1"/>
  <c r="L24" i="17"/>
  <c r="K24" i="16"/>
  <c r="M12" i="16"/>
  <c r="L12" i="16"/>
  <c r="K20" i="15"/>
  <c r="M20" i="15" s="1"/>
  <c r="O20" i="15" s="1"/>
  <c r="K19" i="15"/>
  <c r="M19" i="15" s="1"/>
  <c r="O19" i="15" s="1"/>
  <c r="K18" i="15"/>
  <c r="M18" i="15" s="1"/>
  <c r="O18" i="15" s="1"/>
  <c r="K17" i="15"/>
  <c r="M17" i="15" s="1"/>
  <c r="O17" i="15" s="1"/>
  <c r="K16" i="15"/>
  <c r="M16" i="15" s="1"/>
  <c r="O16" i="15" s="1"/>
  <c r="K15" i="15"/>
  <c r="M15" i="15" s="1"/>
  <c r="O15" i="15" s="1"/>
  <c r="K14" i="15"/>
  <c r="M14" i="15" s="1"/>
  <c r="O14" i="15" s="1"/>
  <c r="K13" i="15"/>
  <c r="K12" i="15"/>
  <c r="H24" i="15"/>
  <c r="G24" i="15"/>
  <c r="F24" i="15"/>
  <c r="I23" i="15"/>
  <c r="M23" i="15" s="1"/>
  <c r="O23" i="15" s="1"/>
  <c r="M22" i="15"/>
  <c r="O22" i="15" s="1"/>
  <c r="I22" i="15"/>
  <c r="M21" i="15"/>
  <c r="O21" i="15" s="1"/>
  <c r="I21" i="15"/>
  <c r="L21" i="15" s="1"/>
  <c r="N21" i="15" s="1"/>
  <c r="I20" i="15"/>
  <c r="I19" i="15"/>
  <c r="I18" i="15"/>
  <c r="I17" i="15"/>
  <c r="L17" i="15" s="1"/>
  <c r="N17" i="15" s="1"/>
  <c r="I16" i="15"/>
  <c r="I15" i="15"/>
  <c r="I14" i="15"/>
  <c r="M13" i="15"/>
  <c r="O13" i="15" s="1"/>
  <c r="I13" i="15"/>
  <c r="L13" i="15" s="1"/>
  <c r="N13" i="15" s="1"/>
  <c r="J24" i="15"/>
  <c r="I12" i="15"/>
  <c r="I24" i="15" s="1"/>
  <c r="K20" i="14"/>
  <c r="J12" i="14"/>
  <c r="K12" i="14" s="1"/>
  <c r="K22" i="14"/>
  <c r="K21" i="14"/>
  <c r="L21" i="14" s="1"/>
  <c r="N21" i="14" s="1"/>
  <c r="M20" i="14"/>
  <c r="O20" i="14" s="1"/>
  <c r="K19" i="14"/>
  <c r="K18" i="14"/>
  <c r="M18" i="14" s="1"/>
  <c r="O18" i="14" s="1"/>
  <c r="K17" i="14"/>
  <c r="K16" i="14"/>
  <c r="K15" i="14"/>
  <c r="M15" i="14" s="1"/>
  <c r="O15" i="14" s="1"/>
  <c r="K14" i="14"/>
  <c r="K13" i="14"/>
  <c r="J24" i="14"/>
  <c r="H24" i="14"/>
  <c r="G24" i="14"/>
  <c r="F24" i="14"/>
  <c r="I23" i="14"/>
  <c r="M23" i="14" s="1"/>
  <c r="O23" i="14" s="1"/>
  <c r="I22" i="14"/>
  <c r="I21" i="14"/>
  <c r="I20" i="14"/>
  <c r="I19" i="14"/>
  <c r="I18" i="14"/>
  <c r="I17" i="14"/>
  <c r="M17" i="14" s="1"/>
  <c r="O17" i="14" s="1"/>
  <c r="I16" i="14"/>
  <c r="L15" i="14"/>
  <c r="N15" i="14" s="1"/>
  <c r="I15" i="14"/>
  <c r="I14" i="14"/>
  <c r="I13" i="14"/>
  <c r="L13" i="14" s="1"/>
  <c r="N13" i="14" s="1"/>
  <c r="I12" i="14"/>
  <c r="I24" i="14" s="1"/>
  <c r="K20" i="13"/>
  <c r="K18" i="13"/>
  <c r="M18" i="13" s="1"/>
  <c r="O18" i="13" s="1"/>
  <c r="K16" i="13"/>
  <c r="H24" i="13"/>
  <c r="G24" i="13"/>
  <c r="F24" i="13"/>
  <c r="I23" i="13"/>
  <c r="M23" i="13" s="1"/>
  <c r="O23" i="13" s="1"/>
  <c r="M22" i="13"/>
  <c r="O22" i="13" s="1"/>
  <c r="I22" i="13"/>
  <c r="L22" i="13" s="1"/>
  <c r="N22" i="13" s="1"/>
  <c r="M21" i="13"/>
  <c r="O21" i="13" s="1"/>
  <c r="I21" i="13"/>
  <c r="L21" i="13" s="1"/>
  <c r="N21" i="13" s="1"/>
  <c r="M20" i="13"/>
  <c r="O20" i="13" s="1"/>
  <c r="I20" i="13"/>
  <c r="M19" i="13"/>
  <c r="O19" i="13" s="1"/>
  <c r="I19" i="13"/>
  <c r="L19" i="13" s="1"/>
  <c r="N19" i="13" s="1"/>
  <c r="I18" i="13"/>
  <c r="M17" i="13"/>
  <c r="O17" i="13" s="1"/>
  <c r="I17" i="13"/>
  <c r="L17" i="13" s="1"/>
  <c r="N17" i="13" s="1"/>
  <c r="I16" i="13"/>
  <c r="M15" i="13"/>
  <c r="O15" i="13" s="1"/>
  <c r="I15" i="13"/>
  <c r="L15" i="13" s="1"/>
  <c r="N15" i="13" s="1"/>
  <c r="M14" i="13"/>
  <c r="O14" i="13" s="1"/>
  <c r="J24" i="13"/>
  <c r="I14" i="13"/>
  <c r="L14" i="13" s="1"/>
  <c r="N14" i="13" s="1"/>
  <c r="M13" i="13"/>
  <c r="O13" i="13" s="1"/>
  <c r="I13" i="13"/>
  <c r="L13" i="13" s="1"/>
  <c r="N13" i="13" s="1"/>
  <c r="L12" i="13"/>
  <c r="N12" i="13" s="1"/>
  <c r="K24" i="13"/>
  <c r="I12" i="13"/>
  <c r="I24" i="13" s="1"/>
  <c r="J14" i="12"/>
  <c r="L24" i="16" l="1"/>
  <c r="N12" i="16"/>
  <c r="N24" i="16" s="1"/>
  <c r="M24" i="16"/>
  <c r="O12" i="16"/>
  <c r="O24" i="16" s="1"/>
  <c r="L19" i="15"/>
  <c r="N19" i="15" s="1"/>
  <c r="L15" i="15"/>
  <c r="N15" i="15" s="1"/>
  <c r="K24" i="15"/>
  <c r="L12" i="15"/>
  <c r="L14" i="15"/>
  <c r="N14" i="15" s="1"/>
  <c r="L16" i="15"/>
  <c r="N16" i="15" s="1"/>
  <c r="L18" i="15"/>
  <c r="N18" i="15" s="1"/>
  <c r="L20" i="15"/>
  <c r="N20" i="15" s="1"/>
  <c r="L22" i="15"/>
  <c r="N22" i="15" s="1"/>
  <c r="M12" i="15"/>
  <c r="L23" i="15"/>
  <c r="N23" i="15" s="1"/>
  <c r="L18" i="14"/>
  <c r="N18" i="14" s="1"/>
  <c r="L12" i="14"/>
  <c r="M12" i="14"/>
  <c r="O12" i="14" s="1"/>
  <c r="M22" i="14"/>
  <c r="O22" i="14" s="1"/>
  <c r="M21" i="14"/>
  <c r="O21" i="14" s="1"/>
  <c r="L20" i="14"/>
  <c r="N20" i="14" s="1"/>
  <c r="L19" i="14"/>
  <c r="N19" i="14" s="1"/>
  <c r="K24" i="14"/>
  <c r="M14" i="14"/>
  <c r="O14" i="14" s="1"/>
  <c r="L22" i="14"/>
  <c r="N22" i="14" s="1"/>
  <c r="N12" i="14"/>
  <c r="M13" i="14"/>
  <c r="O13" i="14" s="1"/>
  <c r="L14" i="14"/>
  <c r="N14" i="14" s="1"/>
  <c r="M16" i="14"/>
  <c r="O16" i="14" s="1"/>
  <c r="L17" i="14"/>
  <c r="N17" i="14" s="1"/>
  <c r="M19" i="14"/>
  <c r="O19" i="14" s="1"/>
  <c r="L23" i="14"/>
  <c r="N23" i="14" s="1"/>
  <c r="L16" i="14"/>
  <c r="N16" i="14" s="1"/>
  <c r="M16" i="13"/>
  <c r="O16" i="13" s="1"/>
  <c r="M12" i="13"/>
  <c r="L16" i="13"/>
  <c r="N16" i="13" s="1"/>
  <c r="L18" i="13"/>
  <c r="N18" i="13" s="1"/>
  <c r="L20" i="13"/>
  <c r="N20" i="13" s="1"/>
  <c r="L23" i="13"/>
  <c r="N23" i="13" s="1"/>
  <c r="K22" i="12"/>
  <c r="K21" i="12"/>
  <c r="M21" i="12" s="1"/>
  <c r="O21" i="12" s="1"/>
  <c r="K20" i="12"/>
  <c r="M20" i="12" s="1"/>
  <c r="O20" i="12" s="1"/>
  <c r="K19" i="12"/>
  <c r="K18" i="12"/>
  <c r="M18" i="12" s="1"/>
  <c r="O18" i="12" s="1"/>
  <c r="K17" i="12"/>
  <c r="L17" i="12" s="1"/>
  <c r="N17" i="12" s="1"/>
  <c r="K16" i="12"/>
  <c r="K15" i="12"/>
  <c r="K14" i="12"/>
  <c r="M14" i="12" s="1"/>
  <c r="O14" i="12" s="1"/>
  <c r="K13" i="12"/>
  <c r="M13" i="12" s="1"/>
  <c r="O13" i="12" s="1"/>
  <c r="K12" i="12"/>
  <c r="H24" i="12"/>
  <c r="G24" i="12"/>
  <c r="F24" i="12"/>
  <c r="I23" i="12"/>
  <c r="M23" i="12" s="1"/>
  <c r="O23" i="12" s="1"/>
  <c r="I22" i="12"/>
  <c r="I21" i="12"/>
  <c r="I20" i="12"/>
  <c r="I19" i="12"/>
  <c r="I18" i="12"/>
  <c r="I17" i="12"/>
  <c r="I16" i="12"/>
  <c r="I15" i="12"/>
  <c r="I14" i="12"/>
  <c r="I13" i="12"/>
  <c r="L13" i="12" s="1"/>
  <c r="N13" i="12" s="1"/>
  <c r="J24" i="12"/>
  <c r="I12" i="12"/>
  <c r="J20" i="11"/>
  <c r="J12" i="11"/>
  <c r="J24" i="11" s="1"/>
  <c r="J15" i="11"/>
  <c r="K15" i="11" s="1"/>
  <c r="K20" i="11"/>
  <c r="L20" i="11" s="1"/>
  <c r="N20" i="11" s="1"/>
  <c r="K19" i="11"/>
  <c r="K18" i="11"/>
  <c r="L18" i="11" s="1"/>
  <c r="N18" i="11" s="1"/>
  <c r="K17" i="11"/>
  <c r="M17" i="11" s="1"/>
  <c r="O17" i="11" s="1"/>
  <c r="K16" i="11"/>
  <c r="K14" i="11"/>
  <c r="M14" i="11" s="1"/>
  <c r="O14" i="11" s="1"/>
  <c r="K13" i="11"/>
  <c r="H24" i="11"/>
  <c r="G24" i="11"/>
  <c r="F24" i="11"/>
  <c r="M23" i="11"/>
  <c r="O23" i="11" s="1"/>
  <c r="L23" i="11"/>
  <c r="N23" i="11" s="1"/>
  <c r="I23" i="11"/>
  <c r="M22" i="11"/>
  <c r="O22" i="11" s="1"/>
  <c r="L22" i="11"/>
  <c r="N22" i="11" s="1"/>
  <c r="I22" i="11"/>
  <c r="I21" i="11"/>
  <c r="M21" i="11" s="1"/>
  <c r="O21" i="11" s="1"/>
  <c r="I20" i="11"/>
  <c r="I19" i="11"/>
  <c r="I18" i="11"/>
  <c r="L17" i="11"/>
  <c r="N17" i="11" s="1"/>
  <c r="I17" i="11"/>
  <c r="M16" i="11"/>
  <c r="O16" i="11" s="1"/>
  <c r="I16" i="11"/>
  <c r="I15" i="11"/>
  <c r="L14" i="11"/>
  <c r="N14" i="11" s="1"/>
  <c r="I14" i="11"/>
  <c r="I13" i="11"/>
  <c r="M13" i="11" s="1"/>
  <c r="O13" i="11" s="1"/>
  <c r="I12" i="11"/>
  <c r="I24" i="11" s="1"/>
  <c r="O12" i="15" l="1"/>
  <c r="O24" i="15" s="1"/>
  <c r="M24" i="15"/>
  <c r="N12" i="15"/>
  <c r="N24" i="15" s="1"/>
  <c r="L24" i="15"/>
  <c r="O24" i="14"/>
  <c r="N24" i="14"/>
  <c r="L24" i="14"/>
  <c r="M24" i="14"/>
  <c r="N24" i="13"/>
  <c r="O12" i="13"/>
  <c r="O24" i="13" s="1"/>
  <c r="M24" i="13"/>
  <c r="L24" i="13"/>
  <c r="M22" i="12"/>
  <c r="O22" i="12" s="1"/>
  <c r="L21" i="12"/>
  <c r="N21" i="12" s="1"/>
  <c r="L20" i="12"/>
  <c r="N20" i="12" s="1"/>
  <c r="L19" i="12"/>
  <c r="N19" i="12" s="1"/>
  <c r="M19" i="12"/>
  <c r="O19" i="12" s="1"/>
  <c r="L18" i="12"/>
  <c r="N18" i="12" s="1"/>
  <c r="M17" i="12"/>
  <c r="O17" i="12" s="1"/>
  <c r="L16" i="12"/>
  <c r="N16" i="12" s="1"/>
  <c r="K24" i="12"/>
  <c r="M16" i="12"/>
  <c r="O16" i="12" s="1"/>
  <c r="M15" i="12"/>
  <c r="O15" i="12" s="1"/>
  <c r="L15" i="12"/>
  <c r="N15" i="12" s="1"/>
  <c r="I24" i="12"/>
  <c r="L14" i="12"/>
  <c r="N14" i="12" s="1"/>
  <c r="L22" i="12"/>
  <c r="N22" i="12" s="1"/>
  <c r="M12" i="12"/>
  <c r="L23" i="12"/>
  <c r="N23" i="12" s="1"/>
  <c r="L12" i="12"/>
  <c r="M19" i="11"/>
  <c r="O19" i="11" s="1"/>
  <c r="K12" i="11"/>
  <c r="L12" i="11" s="1"/>
  <c r="N12" i="11" s="1"/>
  <c r="M18" i="11"/>
  <c r="O18" i="11" s="1"/>
  <c r="L15" i="11"/>
  <c r="N15" i="11" s="1"/>
  <c r="M12" i="11"/>
  <c r="O12" i="11" s="1"/>
  <c r="L16" i="11"/>
  <c r="N16" i="11" s="1"/>
  <c r="K24" i="11"/>
  <c r="L13" i="11"/>
  <c r="N13" i="11" s="1"/>
  <c r="L19" i="11"/>
  <c r="N19" i="11" s="1"/>
  <c r="M20" i="11"/>
  <c r="O20" i="11" s="1"/>
  <c r="L21" i="11"/>
  <c r="N21" i="11" s="1"/>
  <c r="M15" i="11"/>
  <c r="O15" i="11" s="1"/>
  <c r="K14" i="10"/>
  <c r="J14" i="10"/>
  <c r="K18" i="10"/>
  <c r="K20" i="10"/>
  <c r="J20" i="10"/>
  <c r="N12" i="12" l="1"/>
  <c r="N24" i="12" s="1"/>
  <c r="L24" i="12"/>
  <c r="O12" i="12"/>
  <c r="O24" i="12" s="1"/>
  <c r="M24" i="12"/>
  <c r="N24" i="11"/>
  <c r="M24" i="11"/>
  <c r="L24" i="11"/>
  <c r="O24" i="11"/>
  <c r="M20" i="10"/>
  <c r="O20" i="10" s="1"/>
  <c r="L18" i="10"/>
  <c r="N18" i="10" s="1"/>
  <c r="K16" i="10"/>
  <c r="L16" i="10" s="1"/>
  <c r="N16" i="10" s="1"/>
  <c r="K15" i="10"/>
  <c r="M15" i="10" s="1"/>
  <c r="O15" i="10" s="1"/>
  <c r="K12" i="10"/>
  <c r="J15" i="10"/>
  <c r="J24" i="10" s="1"/>
  <c r="H24" i="10"/>
  <c r="G24" i="10"/>
  <c r="F24" i="10"/>
  <c r="N23" i="10"/>
  <c r="L23" i="10"/>
  <c r="I23" i="10"/>
  <c r="M23" i="10" s="1"/>
  <c r="O23" i="10" s="1"/>
  <c r="I22" i="10"/>
  <c r="M22" i="10" s="1"/>
  <c r="O22" i="10" s="1"/>
  <c r="L21" i="10"/>
  <c r="N21" i="10" s="1"/>
  <c r="I21" i="10"/>
  <c r="M21" i="10" s="1"/>
  <c r="O21" i="10" s="1"/>
  <c r="I20" i="10"/>
  <c r="I19" i="10"/>
  <c r="M19" i="10" s="1"/>
  <c r="O19" i="10" s="1"/>
  <c r="I18" i="10"/>
  <c r="M17" i="10"/>
  <c r="O17" i="10" s="1"/>
  <c r="I17" i="10"/>
  <c r="L17" i="10" s="1"/>
  <c r="N17" i="10" s="1"/>
  <c r="I16" i="10"/>
  <c r="I15" i="10"/>
  <c r="L15" i="10" s="1"/>
  <c r="N15" i="10" s="1"/>
  <c r="I14" i="10"/>
  <c r="M13" i="10"/>
  <c r="O13" i="10" s="1"/>
  <c r="I13" i="10"/>
  <c r="I12" i="10"/>
  <c r="J14" i="9"/>
  <c r="K14" i="9" s="1"/>
  <c r="J12" i="9"/>
  <c r="K12" i="9" s="1"/>
  <c r="K19" i="9"/>
  <c r="K18" i="9"/>
  <c r="M18" i="9" s="1"/>
  <c r="O18" i="9" s="1"/>
  <c r="K17" i="9"/>
  <c r="M17" i="9" s="1"/>
  <c r="O17" i="9" s="1"/>
  <c r="K16" i="9"/>
  <c r="M16" i="9" s="1"/>
  <c r="O16" i="9" s="1"/>
  <c r="K15" i="9"/>
  <c r="M15" i="9" s="1"/>
  <c r="O15" i="9" s="1"/>
  <c r="K13" i="9"/>
  <c r="L13" i="9" s="1"/>
  <c r="N13" i="9" s="1"/>
  <c r="H24" i="9"/>
  <c r="G24" i="9"/>
  <c r="F24" i="9"/>
  <c r="M23" i="9"/>
  <c r="O23" i="9" s="1"/>
  <c r="I23" i="9"/>
  <c r="L23" i="9" s="1"/>
  <c r="N23" i="9" s="1"/>
  <c r="L22" i="9"/>
  <c r="N22" i="9" s="1"/>
  <c r="I22" i="9"/>
  <c r="M22" i="9" s="1"/>
  <c r="O22" i="9" s="1"/>
  <c r="M21" i="9"/>
  <c r="O21" i="9" s="1"/>
  <c r="I21" i="9"/>
  <c r="L21" i="9" s="1"/>
  <c r="N21" i="9" s="1"/>
  <c r="I20" i="9"/>
  <c r="M19" i="9"/>
  <c r="O19" i="9" s="1"/>
  <c r="I19" i="9"/>
  <c r="I18" i="9"/>
  <c r="I17" i="9"/>
  <c r="I16" i="9"/>
  <c r="I15" i="9"/>
  <c r="I14" i="9"/>
  <c r="I13" i="9"/>
  <c r="M13" i="9" s="1"/>
  <c r="O13" i="9" s="1"/>
  <c r="I12" i="9"/>
  <c r="I24" i="9" s="1"/>
  <c r="K13" i="8"/>
  <c r="K14" i="8"/>
  <c r="K15" i="8"/>
  <c r="K16" i="8"/>
  <c r="K17" i="8"/>
  <c r="K18" i="8"/>
  <c r="K19" i="8"/>
  <c r="K20" i="8"/>
  <c r="K21" i="8"/>
  <c r="K22" i="8"/>
  <c r="K23" i="8"/>
  <c r="K12" i="8"/>
  <c r="J14" i="8"/>
  <c r="J12" i="8"/>
  <c r="J20" i="8"/>
  <c r="I21" i="8"/>
  <c r="I12" i="8"/>
  <c r="L20" i="10" l="1"/>
  <c r="N20" i="10" s="1"/>
  <c r="M18" i="10"/>
  <c r="O18" i="10" s="1"/>
  <c r="M16" i="10"/>
  <c r="O16" i="10" s="1"/>
  <c r="K24" i="10"/>
  <c r="L12" i="10"/>
  <c r="N12" i="10" s="1"/>
  <c r="L14" i="10"/>
  <c r="N14" i="10" s="1"/>
  <c r="M14" i="10"/>
  <c r="O14" i="10" s="1"/>
  <c r="L24" i="10"/>
  <c r="L13" i="10"/>
  <c r="N13" i="10" s="1"/>
  <c r="L22" i="10"/>
  <c r="N22" i="10" s="1"/>
  <c r="I24" i="10"/>
  <c r="M12" i="10"/>
  <c r="L19" i="10"/>
  <c r="N19" i="10" s="1"/>
  <c r="J24" i="9"/>
  <c r="L18" i="9"/>
  <c r="N18" i="9" s="1"/>
  <c r="L16" i="9"/>
  <c r="N16" i="9" s="1"/>
  <c r="L14" i="9"/>
  <c r="N14" i="9" s="1"/>
  <c r="L20" i="9"/>
  <c r="N20" i="9" s="1"/>
  <c r="M20" i="9"/>
  <c r="O20" i="9" s="1"/>
  <c r="L15" i="9"/>
  <c r="N15" i="9" s="1"/>
  <c r="L17" i="9"/>
  <c r="N17" i="9" s="1"/>
  <c r="L19" i="9"/>
  <c r="N19" i="9" s="1"/>
  <c r="M14" i="9"/>
  <c r="O14" i="9" s="1"/>
  <c r="L21" i="8"/>
  <c r="N21" i="8" s="1"/>
  <c r="M21" i="8"/>
  <c r="O21" i="8" s="1"/>
  <c r="J24" i="8"/>
  <c r="K24" i="8"/>
  <c r="G24" i="8"/>
  <c r="H24" i="8"/>
  <c r="F24" i="8"/>
  <c r="I13" i="8"/>
  <c r="I14" i="8"/>
  <c r="I15" i="8"/>
  <c r="I16" i="8"/>
  <c r="I17" i="8"/>
  <c r="I18" i="8"/>
  <c r="I19" i="8"/>
  <c r="I20" i="8"/>
  <c r="I22" i="8"/>
  <c r="I23" i="8"/>
  <c r="N24" i="10" l="1"/>
  <c r="O12" i="10"/>
  <c r="O24" i="10" s="1"/>
  <c r="M24" i="10"/>
  <c r="K24" i="9"/>
  <c r="M12" i="9"/>
  <c r="L12" i="9"/>
  <c r="M23" i="8"/>
  <c r="O23" i="8" s="1"/>
  <c r="L23" i="8"/>
  <c r="N23" i="8" s="1"/>
  <c r="L22" i="8"/>
  <c r="N22" i="8" s="1"/>
  <c r="M22" i="8"/>
  <c r="O22" i="8" s="1"/>
  <c r="I24" i="8"/>
  <c r="M12" i="8"/>
  <c r="O12" i="8" s="1"/>
  <c r="M13" i="8"/>
  <c r="O13" i="8" s="1"/>
  <c r="M14" i="8"/>
  <c r="O14" i="8" s="1"/>
  <c r="M15" i="8"/>
  <c r="O15" i="8" s="1"/>
  <c r="M16" i="8"/>
  <c r="O16" i="8" s="1"/>
  <c r="M17" i="8"/>
  <c r="O17" i="8" s="1"/>
  <c r="M18" i="8"/>
  <c r="O18" i="8" s="1"/>
  <c r="M19" i="8"/>
  <c r="O19" i="8" s="1"/>
  <c r="M20" i="8"/>
  <c r="O20" i="8" s="1"/>
  <c r="L12" i="8"/>
  <c r="N12" i="8" s="1"/>
  <c r="L13" i="8"/>
  <c r="N13" i="8" s="1"/>
  <c r="L14" i="8"/>
  <c r="N14" i="8" s="1"/>
  <c r="L15" i="8"/>
  <c r="N15" i="8" s="1"/>
  <c r="L16" i="8"/>
  <c r="N16" i="8" s="1"/>
  <c r="L17" i="8"/>
  <c r="N17" i="8" s="1"/>
  <c r="L18" i="8"/>
  <c r="N18" i="8" s="1"/>
  <c r="L19" i="8"/>
  <c r="N19" i="8" s="1"/>
  <c r="L20" i="8"/>
  <c r="N20" i="8" s="1"/>
  <c r="N12" i="9" l="1"/>
  <c r="N24" i="9" s="1"/>
  <c r="L24" i="9"/>
  <c r="M24" i="9"/>
  <c r="O12" i="9"/>
  <c r="O24" i="9" s="1"/>
  <c r="O24" i="8"/>
  <c r="M24" i="8"/>
  <c r="N24" i="8"/>
  <c r="L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00000000-0006-0000-0000-000001000000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00000000-0006-0000-0000-000002000000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00000000-0006-0000-0000-000003000000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00000000-0006-0000-0000-000004000000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03F8BE35-3975-4C23-BE34-87F9B194189D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A531F7C8-7CD1-41E5-A7B1-4156178587F4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2554676D-D5AC-4F46-AD36-481891147D80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D1CDC3E7-D9CB-41D6-9287-E05D41035734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EBF8340F-19BA-4910-B3DA-32DE0C480C2C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84E4CFAB-0013-4DA5-872B-03783BC72AB7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D20EA220-6202-4BCB-BD04-15477F4DFDDA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9BB1F3E1-A106-40BF-970C-9907AA26090B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9B8133AD-8D5F-4BC5-9AC4-65FDE7A86A66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B24D3D32-D070-4042-BDE2-FE515DA6F765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CE2B4B23-B341-458D-9E17-F4B2BE72A685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28689678-C79A-43E0-8974-EA727F93C37C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B279CBD9-617F-4A0F-A909-5E6E4765BD87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284BB71B-A4D1-48B3-AF92-1CE7EC1DE815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EC80258D-266C-4A18-9956-D917AFDB83AC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2DAEAFC4-E2A0-485A-ABAD-60AD893D95DD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E3B4C6A3-3C3C-4F85-B82F-23FB4A68567F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0343E78B-8177-44C7-B6EB-D3970C5EF553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EA9D2DFB-A265-494C-BD0D-F37DC136819D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AD388B08-D9DC-43B7-8480-EC50F1732441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991764A2-F6D8-4C1D-8261-266676C45AD9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A4A58B3C-3CF0-4FAF-AF4F-4729D72FD69A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D656B52C-9D8B-47C6-A4FC-10CFA1E6A63B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24F7795D-160B-45C7-B83B-CAF795722BF3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E5C8B736-4750-442B-91AF-414691C69A53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599C3FB5-79F0-4882-A6CB-A30C7174090C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DE539648-6E44-4EF3-A877-1187F93D07D3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129C6B8F-6BF6-4E1A-A5D6-36923CC14A21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B66DEF89-27C5-42DF-96B3-F02CB4E38636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BC8065E7-61BA-4159-A261-A9286C405FA8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0C46E0BA-B49F-4E09-8BB4-82CCDB918DC3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E7A9B382-3069-4BA4-83FD-F00AA9871FB8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A9C0CC9D-9595-45BC-A34A-5A632224A263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9E5F40C1-2FFD-4A07-982C-5AC568B851F6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902383DB-376D-47E4-A2C2-A40B4EFECAFE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E373641A-E1F8-4DD4-ACC9-2817751E3F29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VANNESA MORA</author>
  </authors>
  <commentList>
    <comment ref="E11" authorId="0" shapeId="0" xr:uid="{D4D2C7F9-C28A-4740-8352-EDF6B53608C3}">
      <text>
        <r>
          <rPr>
            <sz val="9"/>
            <color indexed="81"/>
            <rFont val="Tahoma"/>
            <family val="2"/>
          </rPr>
          <t>Digitar el nombre del FSE o asociado</t>
        </r>
      </text>
    </comment>
    <comment ref="F11" authorId="0" shapeId="0" xr:uid="{730E4164-E87E-46C8-8FC2-A93433089FBF}">
      <text>
        <r>
          <rPr>
            <sz val="9"/>
            <color indexed="81"/>
            <rFont val="Tahoma"/>
            <family val="2"/>
          </rPr>
          <t>Digitar según el presupuesto aprobado</t>
        </r>
      </text>
    </comment>
    <comment ref="J11" authorId="0" shapeId="0" xr:uid="{7915BAA3-154C-4AFF-B36D-FD905C96D2A1}">
      <text>
        <r>
          <rPr>
            <sz val="9"/>
            <color indexed="81"/>
            <rFont val="Tahoma"/>
            <family val="2"/>
          </rPr>
          <t>digitar el valor de lo recaudado por cada rubro en el mes</t>
        </r>
      </text>
    </comment>
    <comment ref="K11" authorId="0" shapeId="0" xr:uid="{7B0F7BD5-B40B-4F72-ACF8-DCD7152F3D65}">
      <text>
        <r>
          <rPr>
            <sz val="9"/>
            <color indexed="81"/>
            <rFont val="Tahoma"/>
            <family val="2"/>
          </rPr>
          <t>sumar el valor total recaudado para cada rubro</t>
        </r>
      </text>
    </comment>
  </commentList>
</comments>
</file>

<file path=xl/sharedStrings.xml><?xml version="1.0" encoding="utf-8"?>
<sst xmlns="http://schemas.openxmlformats.org/spreadsheetml/2006/main" count="1331" uniqueCount="76">
  <si>
    <t xml:space="preserve">Código:             </t>
  </si>
  <si>
    <t xml:space="preserve">Versión:                    </t>
  </si>
  <si>
    <t xml:space="preserve">Fecha de aprobación: </t>
  </si>
  <si>
    <t>01 - Recursos Propios</t>
  </si>
  <si>
    <t>02 - Gratuidad</t>
  </si>
  <si>
    <t>03 - Otras Transferencias</t>
  </si>
  <si>
    <t>04 - Ciclo complementario (ENS)</t>
  </si>
  <si>
    <t>FSE</t>
  </si>
  <si>
    <t>SECRETARÍA DE EDUCACIÓN</t>
  </si>
  <si>
    <t>VIGENCIA:</t>
  </si>
  <si>
    <t>Rubro Presupuestal</t>
  </si>
  <si>
    <t>C. de Costos</t>
  </si>
  <si>
    <t>Presupuesto Inicial (1)</t>
  </si>
  <si>
    <t>Adiciones (2)</t>
  </si>
  <si>
    <t>Reducciones (3)</t>
  </si>
  <si>
    <t xml:space="preserve"> EJECUCIÓN PRESUPUESTAL DE INGRESOS</t>
  </si>
  <si>
    <t>Recaudo mes</t>
  </si>
  <si>
    <t>Recaudo total</t>
  </si>
  <si>
    <t>Saldo por ejecutar</t>
  </si>
  <si>
    <t>Saldo en exceso</t>
  </si>
  <si>
    <r>
      <t>Total Presupuesto Definitivo</t>
    </r>
    <r>
      <rPr>
        <b/>
        <sz val="9"/>
        <color indexed="8"/>
        <rFont val="Arial"/>
        <family val="2"/>
      </rPr>
      <t xml:space="preserve"> (4)= (1)+(2)-(3)</t>
    </r>
  </si>
  <si>
    <t>pendientexejecutar</t>
  </si>
  <si>
    <t>exceso</t>
  </si>
  <si>
    <t>Nombre FSE/Asociado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</si>
  <si>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</si>
  <si>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</si>
  <si>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</si>
  <si>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</si>
  <si>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</si>
  <si>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</si>
  <si>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</si>
  <si>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</si>
  <si>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</si>
  <si>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</si>
  <si>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</si>
  <si>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</si>
  <si>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FONDO DE SERVICIOS EDUCATIVOS </t>
  </si>
  <si>
    <t>MES:</t>
  </si>
  <si>
    <t>Fuente de Financiación</t>
  </si>
  <si>
    <t>1.1.02.06.001.01.03.02 Calidad  por gratuidad</t>
  </si>
  <si>
    <t>MUNICIPIO</t>
  </si>
  <si>
    <t>FONDO DE SERVICIOS EDUCATIVOS</t>
  </si>
  <si>
    <t>1.1.02.05.001.00.01 Productos agricolas</t>
  </si>
  <si>
    <t>1.1.02.05.001.00.02 Forestales</t>
  </si>
  <si>
    <t>1.1.02.05.001.00.03 Piscicolas</t>
  </si>
  <si>
    <t>1.1.02.05.001.00.04 Semovientes</t>
  </si>
  <si>
    <t>1.1.02.05.001.00.05 Otros productos</t>
  </si>
  <si>
    <t>1.1.02.05.001.09.01 Certificado de exalumnos</t>
  </si>
  <si>
    <t>1.1.02.05.001.09.02 Actas de grado</t>
  </si>
  <si>
    <t>1.1.02.05.001.09.03 Derechos academicos CLEI</t>
  </si>
  <si>
    <t>1.1.02.05.001.09.04 Ciclo complemetario</t>
  </si>
  <si>
    <t>1.1.02.05.002.07.01 Concesion tienda escolar</t>
  </si>
  <si>
    <t>1.1.02.05.002.07.02 Concesion papeleria</t>
  </si>
  <si>
    <t>1.1.02.05.002.07.03 Concesion piscina</t>
  </si>
  <si>
    <t>1.1.02.05.002.07.04 Convenios Formación Para El Trabajo</t>
  </si>
  <si>
    <t xml:space="preserve">1.1.02.05.002.07.05 Otras concesiones </t>
  </si>
  <si>
    <t>1.1.02.06.006.01 Transferencias Aportes Nación</t>
  </si>
  <si>
    <t>1.1.02.06.006.06.01 Transferencias Departamentales</t>
  </si>
  <si>
    <t>1.1.02.06.006.06.02 Transferencias Municipales</t>
  </si>
  <si>
    <t xml:space="preserve">1.2.08.01.003.01 Donaciones No condicionadas a la adquisición de un activo </t>
  </si>
  <si>
    <t xml:space="preserve">1.2.08.01.003.02 Donaciones Condicionadas a la adquisición de un activo </t>
  </si>
  <si>
    <t>1.2.10.01.01 Recursos del balance Recursos Propios</t>
  </si>
  <si>
    <t>1.2.10.01.02 Recursos del balance Recursos Gratuidad</t>
  </si>
  <si>
    <t>05 - Recursos de Capital</t>
  </si>
  <si>
    <t xml:space="preserve">1.2.05.02.01 Rendimientos Recursos Propios </t>
  </si>
  <si>
    <t>1.2.05.02.02 Rendimientos Recursos Gratuidad</t>
  </si>
  <si>
    <t>1.2.10.01.04 Recursos del balance Ciclo Complementario</t>
  </si>
  <si>
    <t xml:space="preserve">1.2.05.02.04 Rendimientos Ciclo Complementario </t>
  </si>
  <si>
    <t>ASOCIADO</t>
  </si>
  <si>
    <t>FIRMA TESORERO (A)</t>
  </si>
  <si>
    <t>FIRMA ORDENADOR (A) DEL GASTO</t>
  </si>
  <si>
    <t>TOTAL</t>
  </si>
  <si>
    <t xml:space="preserve">I.E INSTITUTO TECNICO AGROPECUARIO - ITA </t>
  </si>
  <si>
    <t>TÁMESIS</t>
  </si>
  <si>
    <t>NOMBRE: ELKIN PATIÑO PEREZ</t>
  </si>
  <si>
    <t>NOMBRE: LEIDY JOHANA BETANCUR 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</si>
</sst>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9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name val="Verdana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 applyBorder="1"/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0" fontId="13" fillId="0" borderId="3" xfId="0" applyFont="1" applyBorder="1"/>
    <xf numFmtId="0" fontId="13" fillId="0" borderId="0" xfId="0" applyFont="1"/>
    <xf numFmtId="0" fontId="14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 wrapText="1"/>
    </xf>
    <xf numFmtId="0" fontId="9" fillId="0" borderId="0" xfId="0" applyFont="1"/>
    <xf numFmtId="0" fontId="3" fillId="0" borderId="0" xfId="0" applyFont="1" applyBorder="1"/>
    <xf numFmtId="0" fontId="9" fillId="0" borderId="21" xfId="0" applyFont="1" applyBorder="1"/>
    <xf numFmtId="0" fontId="0" fillId="0" borderId="21" xfId="0" applyBorder="1"/>
    <xf numFmtId="0" fontId="19" fillId="0" borderId="0" xfId="0" applyFont="1" applyBorder="1"/>
    <xf numFmtId="0" fontId="9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6" fontId="6" fillId="0" borderId="7" xfId="3" applyNumberFormat="1" applyFont="1" applyBorder="1" applyAlignment="1">
      <alignment horizontal="center" wrapText="1"/>
    </xf>
    <xf numFmtId="166" fontId="6" fillId="0" borderId="14" xfId="3" applyNumberFormat="1" applyFont="1" applyBorder="1" applyAlignment="1">
      <alignment wrapText="1"/>
    </xf>
    <xf numFmtId="166" fontId="0" fillId="0" borderId="6" xfId="3" applyNumberFormat="1" applyFont="1" applyBorder="1" applyAlignment="1">
      <alignment wrapText="1"/>
    </xf>
    <xf numFmtId="166" fontId="0" fillId="0" borderId="8" xfId="3" applyNumberFormat="1" applyFont="1" applyBorder="1" applyAlignment="1">
      <alignment wrapText="1"/>
    </xf>
    <xf numFmtId="166" fontId="6" fillId="0" borderId="6" xfId="3" applyNumberFormat="1" applyFont="1" applyBorder="1" applyAlignment="1">
      <alignment wrapText="1"/>
    </xf>
    <xf numFmtId="166" fontId="9" fillId="2" borderId="6" xfId="0" applyNumberFormat="1" applyFont="1" applyFill="1" applyBorder="1" applyAlignment="1">
      <alignment wrapText="1"/>
    </xf>
    <xf numFmtId="166" fontId="9" fillId="2" borderId="7" xfId="0" applyNumberFormat="1" applyFont="1" applyFill="1" applyBorder="1" applyAlignment="1">
      <alignment wrapText="1"/>
    </xf>
    <xf numFmtId="167" fontId="0" fillId="0" borderId="0" xfId="4" applyNumberFormat="1" applyFont="1"/>
    <xf numFmtId="0" fontId="17" fillId="0" borderId="6" xfId="0" applyFont="1" applyBorder="1"/>
    <xf numFmtId="0" fontId="1" fillId="0" borderId="0" xfId="2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166" fontId="6" fillId="0" borderId="14" xfId="3" applyNumberFormat="1" applyFont="1" applyBorder="1" applyAlignment="1">
      <alignment vertical="center" wrapText="1"/>
    </xf>
    <xf numFmtId="166" fontId="16" fillId="0" borderId="14" xfId="3" applyNumberFormat="1" applyFont="1" applyBorder="1" applyAlignment="1">
      <alignment vertical="center" wrapText="1"/>
    </xf>
    <xf numFmtId="166" fontId="0" fillId="0" borderId="14" xfId="3" applyNumberFormat="1" applyFont="1" applyBorder="1" applyAlignment="1">
      <alignment vertical="center" wrapText="1"/>
    </xf>
    <xf numFmtId="166" fontId="0" fillId="0" borderId="6" xfId="3" applyNumberFormat="1" applyFont="1" applyBorder="1" applyAlignment="1">
      <alignment vertical="center" wrapText="1"/>
    </xf>
    <xf numFmtId="166" fontId="0" fillId="0" borderId="8" xfId="3" applyNumberFormat="1" applyFont="1" applyBorder="1" applyAlignment="1">
      <alignment vertical="center" wrapText="1"/>
    </xf>
    <xf numFmtId="166" fontId="6" fillId="0" borderId="7" xfId="3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2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</cellXfs>
  <cellStyles count="5">
    <cellStyle name="Millares" xfId="4" builtinId="3"/>
    <cellStyle name="Moneda" xfId="3" builtinId="4"/>
    <cellStyle name="Normal" xfId="0" builtinId="0"/>
    <cellStyle name="Normal 2" xfId="2" xr:uid="{00000000-0005-0000-0000-000003000000}"/>
    <cellStyle name="Normal 4" xfId="1" xr:uid="{00000000-0005-0000-0000-000004000000}"/>
  </cellStyles>
  <dxfs count="88"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  <dxf>
      <font>
        <b/>
        <i val="0"/>
        <color theme="6" tint="-0.24994659260841701"/>
      </font>
      <fill>
        <patternFill>
          <bgColor theme="6" tint="0.3999450666829432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BD7B7776-BBB4-4FDC-AA6F-98B42CED3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04175C8E-B7A8-4A65-8108-46C563112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4FCFC2EC-7197-4412-A4F1-9D95624B6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3BDCBA2C-1DE5-4991-BE15-32485B2D3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C6816ADE-631E-4FFF-9523-C8B6CD78E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90004FD9-7400-4D39-B5BC-4E023B20A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208B47C7-D7C1-444F-BCB5-D49F41F77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D8D1512D-1C2B-4401-A22B-7B7E5F8A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21F8F8F8-2463-4DA2-AD0A-3C3580624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57150</xdr:rowOff>
    </xdr:from>
    <xdr:to>
      <xdr:col>2</xdr:col>
      <xdr:colOff>466725</xdr:colOff>
      <xdr:row>3</xdr:row>
      <xdr:rowOff>228600</xdr:rowOff>
    </xdr:to>
    <xdr:pic>
      <xdr:nvPicPr>
        <xdr:cNvPr id="2" name="Picture 1" descr="LOGO GRIS SIN BANDERA">
          <a:extLst>
            <a:ext uri="{FF2B5EF4-FFF2-40B4-BE49-F238E27FC236}">
              <a16:creationId xmlns:a16="http://schemas.microsoft.com/office/drawing/2014/main" id="{2B654FEB-DCE9-4A8C-9B86-6DAC3D9BF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MORA\My%20Documents\FONDOS%20SERVICIOS%20EDUCATIVOS\SEGUIMIENTO%20Y%20CONTROL\FORMATOS\Users\MSANCH~1\AppData\Local\Temp\GF-F03%20Formato%20unico%20solicitud%20de%20CDP%20v6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CDP"/>
      <sheetName val="mes,diaaño"/>
      <sheetName val="C.C."/>
      <sheetName val="SOLICITANTES"/>
      <sheetName val="BENEFICIARIOS1"/>
      <sheetName val="BENEFICIARIOS2"/>
      <sheetName val="RroFuncionamiento"/>
      <sheetName val="PlanAccion"/>
      <sheetName val="Hoja1"/>
    </sheetNames>
    <sheetDataSet>
      <sheetData sheetId="0"/>
      <sheetData sheetId="1">
        <row r="2">
          <cell r="A2" t="str">
            <v>01</v>
          </cell>
          <cell r="B2" t="str">
            <v>ENERO</v>
          </cell>
          <cell r="C2">
            <v>2014</v>
          </cell>
        </row>
        <row r="3">
          <cell r="A3" t="str">
            <v>02</v>
          </cell>
          <cell r="B3" t="str">
            <v>FEBRERO</v>
          </cell>
        </row>
        <row r="4">
          <cell r="A4" t="str">
            <v>03</v>
          </cell>
          <cell r="B4" t="str">
            <v>MARZO</v>
          </cell>
        </row>
        <row r="5">
          <cell r="A5" t="str">
            <v>04</v>
          </cell>
          <cell r="B5" t="str">
            <v>ABRIL</v>
          </cell>
        </row>
        <row r="6">
          <cell r="A6" t="str">
            <v>05</v>
          </cell>
          <cell r="B6" t="str">
            <v>MAYO</v>
          </cell>
        </row>
        <row r="7">
          <cell r="A7" t="str">
            <v>06</v>
          </cell>
          <cell r="B7" t="str">
            <v>JUNIO</v>
          </cell>
        </row>
        <row r="8">
          <cell r="A8" t="str">
            <v>07</v>
          </cell>
          <cell r="B8" t="str">
            <v>JULIO</v>
          </cell>
        </row>
        <row r="9">
          <cell r="A9" t="str">
            <v>08</v>
          </cell>
          <cell r="B9" t="str">
            <v>AGOSTO</v>
          </cell>
        </row>
        <row r="10">
          <cell r="A10" t="str">
            <v>09</v>
          </cell>
          <cell r="B10" t="str">
            <v>SEPTIEMBRE</v>
          </cell>
        </row>
        <row r="11">
          <cell r="A11" t="str">
            <v>10</v>
          </cell>
          <cell r="B11" t="str">
            <v>OCTUBRE</v>
          </cell>
        </row>
        <row r="12">
          <cell r="A12" t="str">
            <v>11</v>
          </cell>
          <cell r="B12" t="str">
            <v>NOVIEMBRE</v>
          </cell>
        </row>
        <row r="13">
          <cell r="A13" t="str">
            <v>12</v>
          </cell>
          <cell r="B13" t="str">
            <v>DICIEMBRE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03"/>
  <sheetViews>
    <sheetView topLeftCell="D10" zoomScale="93" zoomScaleNormal="93" workbookViewId="0">
      <selection activeCell="I15" sqref="I15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24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>
        <f>49500+19600</f>
        <v>69100</v>
      </c>
      <c r="K12" s="54">
        <f>+J12</f>
        <v>69100</v>
      </c>
      <c r="L12" s="55">
        <f t="shared" ref="L12:L23" si="0">(I12-K12)</f>
        <v>2930900</v>
      </c>
      <c r="M12" s="55">
        <f t="shared" ref="M12:M23" si="1">+K12-I12</f>
        <v>-2930900</v>
      </c>
      <c r="N12" s="56">
        <f>IF(L12&gt;=0,L12,0)</f>
        <v>2930900</v>
      </c>
      <c r="O12" s="57">
        <f t="shared" ref="O12:O23" si="2">IF(M12&gt;=0,M12,0)</f>
        <v>0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0</v>
      </c>
      <c r="I13" s="38">
        <f t="shared" ref="I13:I23" si="3">+F13+G13-H13</f>
        <v>3000000</v>
      </c>
      <c r="J13" s="54">
        <v>0</v>
      </c>
      <c r="K13" s="54">
        <f t="shared" ref="K13:K23" si="4">+J13</f>
        <v>0</v>
      </c>
      <c r="L13" s="39">
        <f t="shared" si="0"/>
        <v>3000000</v>
      </c>
      <c r="M13" s="39">
        <f t="shared" si="1"/>
        <v>-3000000</v>
      </c>
      <c r="N13" s="40">
        <f t="shared" ref="N13:N23" si="5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>
        <f>11000+4800+5000+4800+4500+15000+5300+5300+10600+5300</f>
        <v>71600</v>
      </c>
      <c r="K14" s="54">
        <f t="shared" si="4"/>
        <v>71600</v>
      </c>
      <c r="L14" s="39">
        <f t="shared" si="0"/>
        <v>248400</v>
      </c>
      <c r="M14" s="39">
        <f t="shared" si="1"/>
        <v>-248400</v>
      </c>
      <c r="N14" s="40">
        <f t="shared" si="5"/>
        <v>248400</v>
      </c>
      <c r="O14" s="37">
        <f t="shared" si="2"/>
        <v>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>
        <v>0</v>
      </c>
      <c r="K15" s="54">
        <f t="shared" si="4"/>
        <v>0</v>
      </c>
      <c r="L15" s="39">
        <f t="shared" si="0"/>
        <v>1200000</v>
      </c>
      <c r="M15" s="39">
        <f t="shared" si="1"/>
        <v>-1200000</v>
      </c>
      <c r="N15" s="40">
        <f t="shared" si="5"/>
        <v>1200000</v>
      </c>
      <c r="O15" s="37">
        <f t="shared" si="2"/>
        <v>0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/>
      <c r="K16" s="54">
        <f t="shared" si="4"/>
        <v>0</v>
      </c>
      <c r="L16" s="39">
        <f t="shared" si="0"/>
        <v>1500000</v>
      </c>
      <c r="M16" s="39">
        <f t="shared" si="1"/>
        <v>-1500000</v>
      </c>
      <c r="N16" s="40">
        <f t="shared" si="5"/>
        <v>1500000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>
        <v>26500</v>
      </c>
      <c r="K17" s="54">
        <f t="shared" si="4"/>
        <v>26500</v>
      </c>
      <c r="L17" s="39">
        <f t="shared" si="0"/>
        <v>773500</v>
      </c>
      <c r="M17" s="39">
        <f t="shared" si="1"/>
        <v>-773500</v>
      </c>
      <c r="N17" s="40">
        <f t="shared" si="5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955.65</v>
      </c>
      <c r="K18" s="54">
        <f t="shared" si="4"/>
        <v>955.65</v>
      </c>
      <c r="L18" s="39">
        <f t="shared" si="0"/>
        <v>19044.349999999999</v>
      </c>
      <c r="M18" s="39">
        <f t="shared" si="1"/>
        <v>-19044.349999999999</v>
      </c>
      <c r="N18" s="40">
        <f t="shared" si="5"/>
        <v>19044.349999999999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0</v>
      </c>
      <c r="H19" s="54">
        <v>0</v>
      </c>
      <c r="I19" s="38">
        <f t="shared" si="3"/>
        <v>58000000</v>
      </c>
      <c r="J19" s="54">
        <v>0</v>
      </c>
      <c r="K19" s="54">
        <f t="shared" si="4"/>
        <v>0</v>
      </c>
      <c r="L19" s="39">
        <f t="shared" si="0"/>
        <v>58000000</v>
      </c>
      <c r="M19" s="39">
        <f t="shared" si="1"/>
        <v>-58000000</v>
      </c>
      <c r="N19" s="40">
        <f t="shared" si="5"/>
        <v>58000000</v>
      </c>
      <c r="O19" s="37">
        <f t="shared" si="2"/>
        <v>0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f>1757.37+0.03</f>
        <v>1757.3999999999999</v>
      </c>
      <c r="K20" s="54">
        <f t="shared" si="4"/>
        <v>1757.3999999999999</v>
      </c>
      <c r="L20" s="39">
        <f t="shared" si="0"/>
        <v>38242.6</v>
      </c>
      <c r="M20" s="39">
        <f t="shared" si="1"/>
        <v>-38242.6</v>
      </c>
      <c r="N20" s="40">
        <f t="shared" si="5"/>
        <v>38242.6</v>
      </c>
      <c r="O20" s="37">
        <f t="shared" si="2"/>
        <v>0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ref="I21" si="6">+F21+G21-H21</f>
        <v>11182198.85</v>
      </c>
      <c r="J21" s="53">
        <v>11182198.85</v>
      </c>
      <c r="K21" s="54">
        <f t="shared" si="4"/>
        <v>11182198.85</v>
      </c>
      <c r="L21" s="39">
        <f t="shared" ref="L21" si="7">(I21-K21)</f>
        <v>0</v>
      </c>
      <c r="M21" s="39">
        <f t="shared" ref="M21" si="8">+K21-I21</f>
        <v>0</v>
      </c>
      <c r="N21" s="40">
        <f t="shared" ref="N21" si="9">IF(L21&gt;=0,L21,0)</f>
        <v>0</v>
      </c>
      <c r="O21" s="37">
        <f t="shared" ref="O21" si="10">IF(M21&gt;=0,M21,0)</f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3">
        <v>19457464.260000002</v>
      </c>
      <c r="K22" s="54">
        <f t="shared" si="4"/>
        <v>19457464.260000002</v>
      </c>
      <c r="L22" s="39">
        <f t="shared" si="0"/>
        <v>0</v>
      </c>
      <c r="M22" s="39">
        <f t="shared" si="1"/>
        <v>0</v>
      </c>
      <c r="N22" s="40">
        <f t="shared" si="5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>
        <v>0</v>
      </c>
      <c r="K23" s="54">
        <f t="shared" si="4"/>
        <v>0</v>
      </c>
      <c r="L23" s="39">
        <f t="shared" si="0"/>
        <v>0</v>
      </c>
      <c r="M23" s="39">
        <f t="shared" si="1"/>
        <v>0</v>
      </c>
      <c r="N23" s="40">
        <f t="shared" si="5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11">SUM(F12:F23)</f>
        <v>67880000</v>
      </c>
      <c r="G24" s="42">
        <f t="shared" si="11"/>
        <v>30639663.109999999</v>
      </c>
      <c r="H24" s="42">
        <f t="shared" si="11"/>
        <v>0</v>
      </c>
      <c r="I24" s="42">
        <f t="shared" si="11"/>
        <v>98519663.109999999</v>
      </c>
      <c r="J24" s="42">
        <f t="shared" si="11"/>
        <v>30809576.160000004</v>
      </c>
      <c r="K24" s="42">
        <f t="shared" si="11"/>
        <v>30809576.160000004</v>
      </c>
      <c r="L24" s="42">
        <f t="shared" si="11"/>
        <v>67710086.949999988</v>
      </c>
      <c r="M24" s="42">
        <f t="shared" si="11"/>
        <v>-67710086.949999988</v>
      </c>
      <c r="N24" s="42">
        <f t="shared" si="11"/>
        <v>67710086.949999988</v>
      </c>
      <c r="O24" s="43">
        <f t="shared" si="11"/>
        <v>0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B24:E24"/>
    <mergeCell ref="D2:N2"/>
    <mergeCell ref="D3:N3"/>
    <mergeCell ref="D4:N4"/>
    <mergeCell ref="B5:G5"/>
    <mergeCell ref="B6:G6"/>
    <mergeCell ref="H5:O5"/>
    <mergeCell ref="H6:O6"/>
    <mergeCell ref="C8:D8"/>
    <mergeCell ref="C9:D9"/>
  </mergeCells>
  <conditionalFormatting sqref="O12:O23">
    <cfRule type="cellIs" dxfId="87" priority="23" operator="greaterThan">
      <formula>1</formula>
    </cfRule>
  </conditionalFormatting>
  <conditionalFormatting sqref="N12:N23">
    <cfRule type="cellIs" dxfId="86" priority="7" operator="greaterThan">
      <formula>1</formula>
    </cfRule>
  </conditionalFormatting>
  <conditionalFormatting sqref="N12:N23">
    <cfRule type="cellIs" dxfId="85" priority="6" operator="greaterThan">
      <formula>1</formula>
    </cfRule>
  </conditionalFormatting>
  <conditionalFormatting sqref="O12:O23">
    <cfRule type="cellIs" dxfId="84" priority="4" operator="greaterThan">
      <formula>1</formula>
    </cfRule>
    <cfRule type="cellIs" dxfId="83" priority="5" operator="greaterThan">
      <formula>1</formula>
    </cfRule>
  </conditionalFormatting>
  <conditionalFormatting sqref="O12:O23">
    <cfRule type="cellIs" dxfId="82" priority="1" operator="greaterThan">
      <formula>1</formula>
    </cfRule>
    <cfRule type="cellIs" dxfId="81" priority="2" operator="greaterThan">
      <formula>1</formula>
    </cfRule>
    <cfRule type="cellIs" dxfId="80" priority="3" operator="greaterThan">
      <formula>1</formula>
    </cfRule>
  </conditionalFormatting>
  <dataValidations count="5">
    <dataValidation type="list" allowBlank="1" showInputMessage="1" showErrorMessage="1" sqref="C9" xr:uid="{00000000-0002-0000-0000-000000000000}">
      <formula1>$D$112:$D$123</formula1>
    </dataValidation>
    <dataValidation type="list" allowBlank="1" showInputMessage="1" showErrorMessage="1" sqref="D12:D22" xr:uid="{00000000-0002-0000-0000-000001000000}">
      <formula1>$E$105:$E$106</formula1>
    </dataValidation>
    <dataValidation type="list" allowBlank="1" showInputMessage="1" showErrorMessage="1" sqref="C8" xr:uid="{00000000-0002-0000-0000-000002000000}">
      <formula1>$B$111</formula1>
    </dataValidation>
    <dataValidation type="list" allowBlank="1" showInputMessage="1" showErrorMessage="1" sqref="B12:B23" xr:uid="{00000000-0002-0000-0000-000003000000}">
      <formula1>$F$89:$F$114</formula1>
    </dataValidation>
    <dataValidation type="list" allowBlank="1" showInputMessage="1" showErrorMessage="1" sqref="C12:C23" xr:uid="{00000000-0002-0000-0000-000004000000}">
      <formula1>$B$105:$B$109</formula1>
    </dataValidation>
  </dataValidations>
  <pageMargins left="0" right="0" top="0" bottom="0" header="0" footer="0"/>
  <pageSetup scale="50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C381-4407-4DC6-9F3A-47DB64160F07}">
  <dimension ref="B1:O203"/>
  <sheetViews>
    <sheetView topLeftCell="A10" zoomScale="70" zoomScaleNormal="70" workbookViewId="0">
      <selection activeCell="H13" sqref="H13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33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/>
      <c r="K12" s="54">
        <f>+J12+5565507</f>
        <v>5565507</v>
      </c>
      <c r="L12" s="55">
        <f t="shared" ref="L12:L23" si="0">(I12-K12)</f>
        <v>-2565507</v>
      </c>
      <c r="M12" s="55">
        <f t="shared" ref="M12:M23" si="1">+K12-I12</f>
        <v>2565507</v>
      </c>
      <c r="N12" s="56">
        <f>IF(L12&gt;=0,L12,0)</f>
        <v>0</v>
      </c>
      <c r="O12" s="57">
        <f t="shared" ref="O12:O23" si="2">IF(M12&gt;=0,M12,0)</f>
        <v>2565507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/>
      <c r="I13" s="38">
        <f t="shared" ref="I13:I23" si="3">+F13+G13-H13</f>
        <v>3000000</v>
      </c>
      <c r="J13" s="54"/>
      <c r="K13" s="54">
        <v>0</v>
      </c>
      <c r="L13" s="39">
        <f t="shared" si="0"/>
        <v>3000000</v>
      </c>
      <c r="M13" s="39">
        <f t="shared" si="1"/>
        <v>-3000000</v>
      </c>
      <c r="N13" s="40">
        <f t="shared" ref="N13:N23" si="4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>
        <v>6000</v>
      </c>
      <c r="K14" s="54">
        <f>+J14+337400</f>
        <v>343400</v>
      </c>
      <c r="L14" s="39">
        <f t="shared" si="0"/>
        <v>-23400</v>
      </c>
      <c r="M14" s="39">
        <f t="shared" si="1"/>
        <v>23400</v>
      </c>
      <c r="N14" s="40">
        <f t="shared" si="4"/>
        <v>0</v>
      </c>
      <c r="O14" s="37">
        <f t="shared" si="2"/>
        <v>23400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/>
      <c r="K15" s="54">
        <f>+J15+2380407</f>
        <v>2380407</v>
      </c>
      <c r="L15" s="39">
        <f t="shared" si="0"/>
        <v>-1180407</v>
      </c>
      <c r="M15" s="39">
        <f t="shared" si="1"/>
        <v>1180407</v>
      </c>
      <c r="N15" s="40">
        <f t="shared" si="4"/>
        <v>0</v>
      </c>
      <c r="O15" s="37">
        <f t="shared" si="2"/>
        <v>1180407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>
        <v>220000</v>
      </c>
      <c r="K16" s="54">
        <f>+J16+1166000</f>
        <v>1386000</v>
      </c>
      <c r="L16" s="39">
        <f t="shared" si="0"/>
        <v>114000</v>
      </c>
      <c r="M16" s="39">
        <f t="shared" si="1"/>
        <v>-114000</v>
      </c>
      <c r="N16" s="40">
        <f t="shared" si="4"/>
        <v>114000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f>+J17+26500</f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1092.75</v>
      </c>
      <c r="K18" s="54">
        <f>+J18+9985.58</f>
        <v>11078.33</v>
      </c>
      <c r="L18" s="39">
        <f t="shared" si="0"/>
        <v>8921.67</v>
      </c>
      <c r="M18" s="39">
        <f t="shared" si="1"/>
        <v>-8921.67</v>
      </c>
      <c r="N18" s="40">
        <f t="shared" si="4"/>
        <v>8921.67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25811611</v>
      </c>
      <c r="H19" s="54">
        <v>0</v>
      </c>
      <c r="I19" s="38">
        <f t="shared" si="3"/>
        <v>83811611</v>
      </c>
      <c r="J19" s="54"/>
      <c r="K19" s="54">
        <f>+J19+83811611</f>
        <v>83811611</v>
      </c>
      <c r="L19" s="39">
        <f t="shared" si="0"/>
        <v>0</v>
      </c>
      <c r="M19" s="39">
        <f t="shared" si="1"/>
        <v>0</v>
      </c>
      <c r="N19" s="40">
        <f t="shared" si="4"/>
        <v>0</v>
      </c>
      <c r="O19" s="37">
        <f t="shared" si="2"/>
        <v>0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v>5909.61</v>
      </c>
      <c r="K20" s="54">
        <f>+J20+48963.04</f>
        <v>54872.65</v>
      </c>
      <c r="L20" s="39">
        <f t="shared" si="0"/>
        <v>-14872.650000000001</v>
      </c>
      <c r="M20" s="39">
        <f t="shared" si="1"/>
        <v>14872.650000000001</v>
      </c>
      <c r="N20" s="40">
        <f t="shared" si="4"/>
        <v>0</v>
      </c>
      <c r="O20" s="37">
        <f t="shared" si="2"/>
        <v>14872.650000000001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f>+J21+11182198.85</f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f>+J22+19457464.26</f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/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56451274.109999999</v>
      </c>
      <c r="H24" s="42">
        <f t="shared" si="5"/>
        <v>0</v>
      </c>
      <c r="I24" s="42">
        <f t="shared" si="5"/>
        <v>124331274.11</v>
      </c>
      <c r="J24" s="42">
        <f t="shared" si="5"/>
        <v>233002.36</v>
      </c>
      <c r="K24" s="42">
        <f t="shared" si="5"/>
        <v>124219039.09</v>
      </c>
      <c r="L24" s="42">
        <f t="shared" si="5"/>
        <v>112235.01999999999</v>
      </c>
      <c r="M24" s="42">
        <f t="shared" si="5"/>
        <v>-112235.01999999999</v>
      </c>
      <c r="N24" s="42">
        <f t="shared" si="5"/>
        <v>3896421.67</v>
      </c>
      <c r="O24" s="43">
        <f t="shared" si="5"/>
        <v>3784186.65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ht="35.25" customHeight="1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15" priority="8" operator="greaterThan">
      <formula>1</formula>
    </cfRule>
  </conditionalFormatting>
  <conditionalFormatting sqref="N12:N23">
    <cfRule type="cellIs" dxfId="14" priority="7" operator="greaterThan">
      <formula>1</formula>
    </cfRule>
  </conditionalFormatting>
  <conditionalFormatting sqref="N12:N23">
    <cfRule type="cellIs" dxfId="13" priority="6" operator="greaterThan">
      <formula>1</formula>
    </cfRule>
  </conditionalFormatting>
  <conditionalFormatting sqref="O12:O23">
    <cfRule type="cellIs" dxfId="12" priority="4" operator="greaterThan">
      <formula>1</formula>
    </cfRule>
    <cfRule type="cellIs" dxfId="11" priority="5" operator="greaterThan">
      <formula>1</formula>
    </cfRule>
  </conditionalFormatting>
  <conditionalFormatting sqref="O12:O23">
    <cfRule type="cellIs" dxfId="10" priority="1" operator="greaterThan">
      <formula>1</formula>
    </cfRule>
    <cfRule type="cellIs" dxfId="9" priority="2" operator="greaterThan">
      <formula>1</formula>
    </cfRule>
    <cfRule type="cellIs" dxfId="8" priority="3" operator="greaterThan">
      <formula>1</formula>
    </cfRule>
  </conditionalFormatting>
  <dataValidations count="5">
    <dataValidation type="list" allowBlank="1" showInputMessage="1" showErrorMessage="1" sqref="C12:C23" xr:uid="{9AD73C89-3AD0-403C-B085-54EBCDEE6C7A}">
      <formula1>$B$105:$B$109</formula1>
    </dataValidation>
    <dataValidation type="list" allowBlank="1" showInputMessage="1" showErrorMessage="1" sqref="B12:B23" xr:uid="{8A64B98C-9143-409B-873F-DF8A490A8583}">
      <formula1>$F$89:$F$114</formula1>
    </dataValidation>
    <dataValidation type="list" allowBlank="1" showInputMessage="1" showErrorMessage="1" sqref="C8" xr:uid="{ACB6AF7A-086C-48E9-91D3-20D99092000E}">
      <formula1>$B$111</formula1>
    </dataValidation>
    <dataValidation type="list" allowBlank="1" showInputMessage="1" showErrorMessage="1" sqref="D12:D22" xr:uid="{5338A682-9956-4DE6-9AA7-04BF190CD482}">
      <formula1>$E$105:$E$106</formula1>
    </dataValidation>
    <dataValidation type="list" allowBlank="1" showInputMessage="1" showErrorMessage="1" sqref="C9" xr:uid="{B0841A98-2218-409C-A658-9D69707B6B03}">
      <formula1>$D$112:$D$123</formula1>
    </dataValidation>
  </dataValidations>
  <pageMargins left="0" right="0" top="0" bottom="0" header="0" footer="0"/>
  <pageSetup scale="45" orientation="landscape" horizontalDpi="360" verticalDpi="36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2B912-5636-47B2-A582-B9EC10ED691E}">
  <dimension ref="B1:O203"/>
  <sheetViews>
    <sheetView tabSelected="1" topLeftCell="A7" zoomScale="70" zoomScaleNormal="70" workbookViewId="0">
      <selection activeCell="H18" sqref="H18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34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2565507</v>
      </c>
      <c r="H12" s="54">
        <v>0</v>
      </c>
      <c r="I12" s="52">
        <f>+F12+G12-H12</f>
        <v>5565507</v>
      </c>
      <c r="J12" s="54"/>
      <c r="K12" s="54">
        <f>+J12+5565507</f>
        <v>5565507</v>
      </c>
      <c r="L12" s="55">
        <f t="shared" ref="L12:L23" si="0">(I12-K12)</f>
        <v>0</v>
      </c>
      <c r="M12" s="55">
        <f t="shared" ref="M12:M23" si="1">+K12-I12</f>
        <v>0</v>
      </c>
      <c r="N12" s="56">
        <f>IF(L12&gt;=0,L12,0)</f>
        <v>0</v>
      </c>
      <c r="O12" s="57">
        <f t="shared" ref="O12:O23" si="2">IF(M12&gt;=0,M12,0)</f>
        <v>0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3000000</v>
      </c>
      <c r="I13" s="38">
        <f t="shared" ref="I13:I23" si="3">+F13+G13-H13</f>
        <v>0</v>
      </c>
      <c r="J13" s="54"/>
      <c r="K13" s="54">
        <v>0</v>
      </c>
      <c r="L13" s="39">
        <f t="shared" si="0"/>
        <v>0</v>
      </c>
      <c r="M13" s="39">
        <f t="shared" si="1"/>
        <v>0</v>
      </c>
      <c r="N13" s="40">
        <f t="shared" ref="N13:N23" si="4">IF(L13&gt;=0,L13,0)</f>
        <v>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23400</v>
      </c>
      <c r="H14" s="54">
        <v>0</v>
      </c>
      <c r="I14" s="38">
        <f t="shared" si="3"/>
        <v>343400</v>
      </c>
      <c r="J14" s="54">
        <v>6000</v>
      </c>
      <c r="K14" s="54">
        <f>+J14+337400</f>
        <v>343400</v>
      </c>
      <c r="L14" s="39">
        <f t="shared" si="0"/>
        <v>0</v>
      </c>
      <c r="M14" s="39">
        <f t="shared" si="1"/>
        <v>0</v>
      </c>
      <c r="N14" s="40">
        <f t="shared" si="4"/>
        <v>0</v>
      </c>
      <c r="O14" s="37">
        <f t="shared" si="2"/>
        <v>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1180407</v>
      </c>
      <c r="H15" s="54">
        <v>0</v>
      </c>
      <c r="I15" s="38">
        <f t="shared" si="3"/>
        <v>2380407</v>
      </c>
      <c r="J15" s="54"/>
      <c r="K15" s="54">
        <f>+J15+2380407</f>
        <v>2380407</v>
      </c>
      <c r="L15" s="39">
        <f t="shared" si="0"/>
        <v>0</v>
      </c>
      <c r="M15" s="39">
        <f t="shared" si="1"/>
        <v>0</v>
      </c>
      <c r="N15" s="40">
        <f t="shared" si="4"/>
        <v>0</v>
      </c>
      <c r="O15" s="37">
        <f t="shared" si="2"/>
        <v>0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>
        <v>220000</v>
      </c>
      <c r="K16" s="54">
        <f>+J16+1166000</f>
        <v>1386000</v>
      </c>
      <c r="L16" s="39">
        <f t="shared" si="0"/>
        <v>114000</v>
      </c>
      <c r="M16" s="39">
        <f t="shared" si="1"/>
        <v>-114000</v>
      </c>
      <c r="N16" s="40">
        <f t="shared" si="4"/>
        <v>114000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f>+J17+26500</f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1092.75</v>
      </c>
      <c r="K18" s="54">
        <f>+J18+9985.58</f>
        <v>11078.33</v>
      </c>
      <c r="L18" s="39">
        <f t="shared" si="0"/>
        <v>8921.67</v>
      </c>
      <c r="M18" s="39">
        <f t="shared" si="1"/>
        <v>-8921.67</v>
      </c>
      <c r="N18" s="40">
        <f t="shared" si="4"/>
        <v>8921.67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25811611</v>
      </c>
      <c r="H19" s="54">
        <v>0</v>
      </c>
      <c r="I19" s="38">
        <f t="shared" si="3"/>
        <v>83811611</v>
      </c>
      <c r="J19" s="54"/>
      <c r="K19" s="54">
        <f>+J19+83811611</f>
        <v>83811611</v>
      </c>
      <c r="L19" s="39">
        <f t="shared" si="0"/>
        <v>0</v>
      </c>
      <c r="M19" s="39">
        <f t="shared" si="1"/>
        <v>0</v>
      </c>
      <c r="N19" s="40">
        <f t="shared" si="4"/>
        <v>0</v>
      </c>
      <c r="O19" s="37">
        <f t="shared" si="2"/>
        <v>0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v>5909.61</v>
      </c>
      <c r="K20" s="54">
        <f>+J20+48963.04</f>
        <v>54872.65</v>
      </c>
      <c r="L20" s="39">
        <f t="shared" si="0"/>
        <v>-14872.650000000001</v>
      </c>
      <c r="M20" s="39">
        <f t="shared" si="1"/>
        <v>14872.650000000001</v>
      </c>
      <c r="N20" s="40">
        <f t="shared" si="4"/>
        <v>0</v>
      </c>
      <c r="O20" s="37">
        <f t="shared" si="2"/>
        <v>14872.650000000001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f>+J21+11182198.85</f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f>+J22+19457464.26</f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/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60220588.109999999</v>
      </c>
      <c r="H24" s="42">
        <f t="shared" si="5"/>
        <v>3000000</v>
      </c>
      <c r="I24" s="42">
        <f t="shared" si="5"/>
        <v>125100588.11</v>
      </c>
      <c r="J24" s="42">
        <f t="shared" si="5"/>
        <v>233002.36</v>
      </c>
      <c r="K24" s="42">
        <f t="shared" si="5"/>
        <v>124219039.09</v>
      </c>
      <c r="L24" s="42">
        <f t="shared" si="5"/>
        <v>881549.02</v>
      </c>
      <c r="M24" s="42">
        <f t="shared" si="5"/>
        <v>-881549.02</v>
      </c>
      <c r="N24" s="42">
        <f t="shared" si="5"/>
        <v>896421.67</v>
      </c>
      <c r="O24" s="43">
        <f t="shared" si="5"/>
        <v>14872.650000000001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ht="35.25" customHeight="1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7" priority="8" operator="greaterThan">
      <formula>1</formula>
    </cfRule>
  </conditionalFormatting>
  <conditionalFormatting sqref="N12:N23">
    <cfRule type="cellIs" dxfId="6" priority="7" operator="greaterThan">
      <formula>1</formula>
    </cfRule>
  </conditionalFormatting>
  <conditionalFormatting sqref="N12:N23">
    <cfRule type="cellIs" dxfId="5" priority="6" operator="greaterThan">
      <formula>1</formula>
    </cfRule>
  </conditionalFormatting>
  <conditionalFormatting sqref="O12:O23">
    <cfRule type="cellIs" dxfId="4" priority="4" operator="greaterThan">
      <formula>1</formula>
    </cfRule>
    <cfRule type="cellIs" dxfId="3" priority="5" operator="greaterThan">
      <formula>1</formula>
    </cfRule>
  </conditionalFormatting>
  <conditionalFormatting sqref="O12:O23">
    <cfRule type="cellIs" dxfId="2" priority="1" operator="greaterThan">
      <formula>1</formula>
    </cfRule>
    <cfRule type="cellIs" dxfId="1" priority="2" operator="greaterThan">
      <formula>1</formula>
    </cfRule>
    <cfRule type="cellIs" dxfId="0" priority="3" operator="greaterThan">
      <formula>1</formula>
    </cfRule>
  </conditionalFormatting>
  <dataValidations count="5">
    <dataValidation type="list" allowBlank="1" showInputMessage="1" showErrorMessage="1" sqref="C9" xr:uid="{6EA530B5-4D49-4C13-A195-D970A4893E5F}">
      <formula1>$D$112:$D$123</formula1>
    </dataValidation>
    <dataValidation type="list" allowBlank="1" showInputMessage="1" showErrorMessage="1" sqref="D12:D22" xr:uid="{DF46985A-CE96-4690-A1FB-DF3759EE5D51}">
      <formula1>$E$105:$E$106</formula1>
    </dataValidation>
    <dataValidation type="list" allowBlank="1" showInputMessage="1" showErrorMessage="1" sqref="C8" xr:uid="{6DF99589-F5A0-4E57-A415-509EE5A630BD}">
      <formula1>$B$111</formula1>
    </dataValidation>
    <dataValidation type="list" allowBlank="1" showInputMessage="1" showErrorMessage="1" sqref="B12:B23" xr:uid="{BF1D343D-B46C-4A08-B5DF-9A5FBA274F56}">
      <formula1>$F$89:$F$114</formula1>
    </dataValidation>
    <dataValidation type="list" allowBlank="1" showInputMessage="1" showErrorMessage="1" sqref="C12:C23" xr:uid="{CF8D1D90-E80B-47FB-AF84-393DFC17A632}">
      <formula1>$B$105:$B$109</formula1>
    </dataValidation>
  </dataValidations>
  <pageMargins left="0" right="0" top="0" bottom="0" header="0" footer="0"/>
  <pageSetup scale="45" orientation="landscape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3A6F-D69D-4BFF-A907-7FAD6327B9F2}">
  <dimension ref="B1:O203"/>
  <sheetViews>
    <sheetView topLeftCell="E11" zoomScale="93" zoomScaleNormal="93" workbookViewId="0">
      <selection activeCell="J17" sqref="J17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25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>
        <f>31800+49000</f>
        <v>80800</v>
      </c>
      <c r="K12" s="54">
        <f>69100+J12</f>
        <v>149900</v>
      </c>
      <c r="L12" s="55">
        <f t="shared" ref="L12:L23" si="0">(I12-K12)</f>
        <v>2850100</v>
      </c>
      <c r="M12" s="55">
        <f t="shared" ref="M12:M23" si="1">+K12-I12</f>
        <v>-2850100</v>
      </c>
      <c r="N12" s="56">
        <f>IF(L12&gt;=0,L12,0)</f>
        <v>2850100</v>
      </c>
      <c r="O12" s="57">
        <f t="shared" ref="O12:O23" si="2">IF(M12&gt;=0,M12,0)</f>
        <v>0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0</v>
      </c>
      <c r="I13" s="38">
        <f t="shared" ref="I13:I23" si="3">+F13+G13-H13</f>
        <v>3000000</v>
      </c>
      <c r="J13" s="54">
        <v>0</v>
      </c>
      <c r="K13" s="54">
        <f>+J13</f>
        <v>0</v>
      </c>
      <c r="L13" s="39">
        <f t="shared" si="0"/>
        <v>3000000</v>
      </c>
      <c r="M13" s="39">
        <f t="shared" si="1"/>
        <v>-3000000</v>
      </c>
      <c r="N13" s="40">
        <f t="shared" ref="N13:N23" si="4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>
        <f>15900+6000+5300+5400+6000+5300+21200+21200+21200</f>
        <v>107500</v>
      </c>
      <c r="K14" s="54">
        <f>71600+J14</f>
        <v>179100</v>
      </c>
      <c r="L14" s="39">
        <f t="shared" si="0"/>
        <v>140900</v>
      </c>
      <c r="M14" s="39">
        <f t="shared" si="1"/>
        <v>-140900</v>
      </c>
      <c r="N14" s="40">
        <f t="shared" si="4"/>
        <v>140900</v>
      </c>
      <c r="O14" s="37">
        <f t="shared" si="2"/>
        <v>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>
        <v>0</v>
      </c>
      <c r="K15" s="54">
        <f>+J15</f>
        <v>0</v>
      </c>
      <c r="L15" s="39">
        <f t="shared" si="0"/>
        <v>1200000</v>
      </c>
      <c r="M15" s="39">
        <f t="shared" si="1"/>
        <v>-1200000</v>
      </c>
      <c r="N15" s="40">
        <f t="shared" si="4"/>
        <v>1200000</v>
      </c>
      <c r="O15" s="37">
        <f t="shared" si="2"/>
        <v>0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>
        <v>320000</v>
      </c>
      <c r="K16" s="54">
        <f>+J16</f>
        <v>320000</v>
      </c>
      <c r="L16" s="39">
        <f t="shared" si="0"/>
        <v>1180000</v>
      </c>
      <c r="M16" s="39">
        <f t="shared" si="1"/>
        <v>-1180000</v>
      </c>
      <c r="N16" s="40">
        <f t="shared" si="4"/>
        <v>1180000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f>26500+J17</f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914</v>
      </c>
      <c r="K18" s="54">
        <f>955.65+J18</f>
        <v>1869.65</v>
      </c>
      <c r="L18" s="39">
        <f t="shared" si="0"/>
        <v>18130.349999999999</v>
      </c>
      <c r="M18" s="39">
        <f t="shared" si="1"/>
        <v>-18130.349999999999</v>
      </c>
      <c r="N18" s="40">
        <f t="shared" si="4"/>
        <v>18130.349999999999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0</v>
      </c>
      <c r="H19" s="54">
        <v>0</v>
      </c>
      <c r="I19" s="38">
        <f t="shared" si="3"/>
        <v>58000000</v>
      </c>
      <c r="J19" s="54">
        <v>0</v>
      </c>
      <c r="K19" s="54">
        <f>+J19</f>
        <v>0</v>
      </c>
      <c r="L19" s="39">
        <f t="shared" si="0"/>
        <v>58000000</v>
      </c>
      <c r="M19" s="39">
        <f t="shared" si="1"/>
        <v>-58000000</v>
      </c>
      <c r="N19" s="40">
        <f t="shared" si="4"/>
        <v>58000000</v>
      </c>
      <c r="O19" s="37">
        <f t="shared" si="2"/>
        <v>0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v>1609</v>
      </c>
      <c r="K20" s="54">
        <v>1757.3999999999999</v>
      </c>
      <c r="L20" s="39">
        <f t="shared" si="0"/>
        <v>38242.6</v>
      </c>
      <c r="M20" s="39">
        <f t="shared" si="1"/>
        <v>-38242.6</v>
      </c>
      <c r="N20" s="40">
        <f t="shared" si="4"/>
        <v>38242.6</v>
      </c>
      <c r="O20" s="37">
        <f t="shared" si="2"/>
        <v>0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>
        <v>0</v>
      </c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30639663.109999999</v>
      </c>
      <c r="H24" s="42">
        <f t="shared" si="5"/>
        <v>0</v>
      </c>
      <c r="I24" s="42">
        <f t="shared" si="5"/>
        <v>98519663.109999999</v>
      </c>
      <c r="J24" s="42">
        <f t="shared" si="5"/>
        <v>510823</v>
      </c>
      <c r="K24" s="42">
        <f t="shared" si="5"/>
        <v>31318790.160000004</v>
      </c>
      <c r="L24" s="42">
        <f t="shared" si="5"/>
        <v>67200872.949999988</v>
      </c>
      <c r="M24" s="42">
        <f t="shared" si="5"/>
        <v>-67200872.949999988</v>
      </c>
      <c r="N24" s="42">
        <f t="shared" si="5"/>
        <v>67200872.949999988</v>
      </c>
      <c r="O24" s="43">
        <f t="shared" si="5"/>
        <v>0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79" priority="8" operator="greaterThan">
      <formula>1</formula>
    </cfRule>
  </conditionalFormatting>
  <conditionalFormatting sqref="N12:N23">
    <cfRule type="cellIs" dxfId="78" priority="7" operator="greaterThan">
      <formula>1</formula>
    </cfRule>
  </conditionalFormatting>
  <conditionalFormatting sqref="N12:N23">
    <cfRule type="cellIs" dxfId="77" priority="6" operator="greaterThan">
      <formula>1</formula>
    </cfRule>
  </conditionalFormatting>
  <conditionalFormatting sqref="O12:O23">
    <cfRule type="cellIs" dxfId="76" priority="4" operator="greaterThan">
      <formula>1</formula>
    </cfRule>
    <cfRule type="cellIs" dxfId="75" priority="5" operator="greaterThan">
      <formula>1</formula>
    </cfRule>
  </conditionalFormatting>
  <conditionalFormatting sqref="O12:O23">
    <cfRule type="cellIs" dxfId="74" priority="1" operator="greaterThan">
      <formula>1</formula>
    </cfRule>
    <cfRule type="cellIs" dxfId="73" priority="2" operator="greaterThan">
      <formula>1</formula>
    </cfRule>
    <cfRule type="cellIs" dxfId="72" priority="3" operator="greaterThan">
      <formula>1</formula>
    </cfRule>
  </conditionalFormatting>
  <dataValidations count="5">
    <dataValidation type="list" allowBlank="1" showInputMessage="1" showErrorMessage="1" sqref="C12:C23" xr:uid="{AA6E9F7D-4C6C-4D7F-A1A3-35FF4E57050D}">
      <formula1>$B$105:$B$109</formula1>
    </dataValidation>
    <dataValidation type="list" allowBlank="1" showInputMessage="1" showErrorMessage="1" sqref="B12:B23" xr:uid="{EF3157B5-4654-4BB0-A24C-527DEEBA896E}">
      <formula1>$F$89:$F$114</formula1>
    </dataValidation>
    <dataValidation type="list" allowBlank="1" showInputMessage="1" showErrorMessage="1" sqref="C8" xr:uid="{528E35BD-A569-40CA-9041-A9A24A258A81}">
      <formula1>$B$111</formula1>
    </dataValidation>
    <dataValidation type="list" allowBlank="1" showInputMessage="1" showErrorMessage="1" sqref="D12:D22" xr:uid="{A7F745C8-C4CE-402E-8BC1-0EADA4A4289D}">
      <formula1>$E$105:$E$106</formula1>
    </dataValidation>
    <dataValidation type="list" allowBlank="1" showInputMessage="1" showErrorMessage="1" sqref="C9" xr:uid="{9B56884B-B9FD-4651-B284-AC23E59D4566}">
      <formula1>$D$112:$D$123</formula1>
    </dataValidation>
  </dataValidations>
  <pageMargins left="0" right="0" top="0" bottom="0" header="0" footer="0"/>
  <pageSetup scale="5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3EEFF-5019-4F5F-8D0A-B30F2A25036D}">
  <dimension ref="B1:O203"/>
  <sheetViews>
    <sheetView topLeftCell="A7" zoomScale="93" zoomScaleNormal="93" workbookViewId="0">
      <selection activeCell="J16" sqref="J16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26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/>
      <c r="K12" s="54">
        <f>149900+J12</f>
        <v>149900</v>
      </c>
      <c r="L12" s="55">
        <f t="shared" ref="L12:L23" si="0">(I12-K12)</f>
        <v>2850100</v>
      </c>
      <c r="M12" s="55">
        <f t="shared" ref="M12:M23" si="1">+K12-I12</f>
        <v>-2850100</v>
      </c>
      <c r="N12" s="56">
        <f>IF(L12&gt;=0,L12,0)</f>
        <v>2850100</v>
      </c>
      <c r="O12" s="57">
        <f t="shared" ref="O12:O23" si="2">IF(M12&gt;=0,M12,0)</f>
        <v>0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0</v>
      </c>
      <c r="I13" s="38">
        <f t="shared" ref="I13:I23" si="3">+F13+G13-H13</f>
        <v>3000000</v>
      </c>
      <c r="J13" s="54"/>
      <c r="K13" s="54">
        <v>0</v>
      </c>
      <c r="L13" s="39">
        <f t="shared" si="0"/>
        <v>3000000</v>
      </c>
      <c r="M13" s="39">
        <f t="shared" si="1"/>
        <v>-3000000</v>
      </c>
      <c r="N13" s="40">
        <f t="shared" ref="N13:N23" si="4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>
        <f>5300+5300+9600+5300+10600+5000</f>
        <v>41100</v>
      </c>
      <c r="K14" s="54">
        <f>179100+J14</f>
        <v>220200</v>
      </c>
      <c r="L14" s="39">
        <f t="shared" si="0"/>
        <v>99800</v>
      </c>
      <c r="M14" s="39">
        <f t="shared" si="1"/>
        <v>-99800</v>
      </c>
      <c r="N14" s="40">
        <f t="shared" si="4"/>
        <v>99800</v>
      </c>
      <c r="O14" s="37">
        <f t="shared" si="2"/>
        <v>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>
        <f>50000+50000+50000+50000+49500+49500</f>
        <v>299000</v>
      </c>
      <c r="K15" s="54">
        <f>+J15</f>
        <v>299000</v>
      </c>
      <c r="L15" s="39">
        <f t="shared" si="0"/>
        <v>901000</v>
      </c>
      <c r="M15" s="39">
        <f t="shared" si="1"/>
        <v>-901000</v>
      </c>
      <c r="N15" s="40">
        <f t="shared" si="4"/>
        <v>901000</v>
      </c>
      <c r="O15" s="37">
        <f t="shared" si="2"/>
        <v>0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>
        <v>320000</v>
      </c>
      <c r="K16" s="54">
        <f>320000+J16</f>
        <v>640000</v>
      </c>
      <c r="L16" s="39">
        <f t="shared" si="0"/>
        <v>860000</v>
      </c>
      <c r="M16" s="39">
        <f t="shared" si="1"/>
        <v>-860000</v>
      </c>
      <c r="N16" s="40">
        <f t="shared" si="4"/>
        <v>860000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1033.33</v>
      </c>
      <c r="K18" s="54">
        <f>1869.65+J18</f>
        <v>2902.98</v>
      </c>
      <c r="L18" s="39">
        <f t="shared" si="0"/>
        <v>17097.02</v>
      </c>
      <c r="M18" s="39">
        <f t="shared" si="1"/>
        <v>-17097.02</v>
      </c>
      <c r="N18" s="40">
        <f t="shared" si="4"/>
        <v>17097.02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0</v>
      </c>
      <c r="H19" s="54">
        <v>0</v>
      </c>
      <c r="I19" s="38">
        <f t="shared" si="3"/>
        <v>58000000</v>
      </c>
      <c r="J19" s="54"/>
      <c r="K19" s="54">
        <v>0</v>
      </c>
      <c r="L19" s="39">
        <f t="shared" si="0"/>
        <v>58000000</v>
      </c>
      <c r="M19" s="39">
        <f t="shared" si="1"/>
        <v>-58000000</v>
      </c>
      <c r="N19" s="40">
        <f t="shared" si="4"/>
        <v>58000000</v>
      </c>
      <c r="O19" s="37">
        <f t="shared" si="2"/>
        <v>0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f>1654.13+0.03</f>
        <v>1654.16</v>
      </c>
      <c r="K20" s="54">
        <f>1757.4+J20</f>
        <v>3411.5600000000004</v>
      </c>
      <c r="L20" s="39">
        <f t="shared" si="0"/>
        <v>36588.44</v>
      </c>
      <c r="M20" s="39">
        <f t="shared" si="1"/>
        <v>-36588.44</v>
      </c>
      <c r="N20" s="40">
        <f t="shared" si="4"/>
        <v>36588.44</v>
      </c>
      <c r="O20" s="37">
        <f t="shared" si="2"/>
        <v>0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/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30639663.109999999</v>
      </c>
      <c r="H24" s="42">
        <f t="shared" si="5"/>
        <v>0</v>
      </c>
      <c r="I24" s="42">
        <f t="shared" si="5"/>
        <v>98519663.109999999</v>
      </c>
      <c r="J24" s="42">
        <f t="shared" si="5"/>
        <v>662787.49</v>
      </c>
      <c r="K24" s="42">
        <f t="shared" si="5"/>
        <v>31981577.650000002</v>
      </c>
      <c r="L24" s="42">
        <f t="shared" si="5"/>
        <v>66538085.459999993</v>
      </c>
      <c r="M24" s="42">
        <f t="shared" si="5"/>
        <v>-66538085.459999993</v>
      </c>
      <c r="N24" s="42">
        <f t="shared" si="5"/>
        <v>66538085.459999993</v>
      </c>
      <c r="O24" s="43">
        <f t="shared" si="5"/>
        <v>0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71" priority="8" operator="greaterThan">
      <formula>1</formula>
    </cfRule>
  </conditionalFormatting>
  <conditionalFormatting sqref="N12:N23">
    <cfRule type="cellIs" dxfId="70" priority="7" operator="greaterThan">
      <formula>1</formula>
    </cfRule>
  </conditionalFormatting>
  <conditionalFormatting sqref="N12:N23">
    <cfRule type="cellIs" dxfId="69" priority="6" operator="greaterThan">
      <formula>1</formula>
    </cfRule>
  </conditionalFormatting>
  <conditionalFormatting sqref="O12:O23">
    <cfRule type="cellIs" dxfId="68" priority="4" operator="greaterThan">
      <formula>1</formula>
    </cfRule>
    <cfRule type="cellIs" dxfId="67" priority="5" operator="greaterThan">
      <formula>1</formula>
    </cfRule>
  </conditionalFormatting>
  <conditionalFormatting sqref="O12:O23">
    <cfRule type="cellIs" dxfId="66" priority="1" operator="greaterThan">
      <formula>1</formula>
    </cfRule>
    <cfRule type="cellIs" dxfId="65" priority="2" operator="greaterThan">
      <formula>1</formula>
    </cfRule>
    <cfRule type="cellIs" dxfId="64" priority="3" operator="greaterThan">
      <formula>1</formula>
    </cfRule>
  </conditionalFormatting>
  <dataValidations count="5">
    <dataValidation type="list" allowBlank="1" showInputMessage="1" showErrorMessage="1" sqref="C9" xr:uid="{98E6F722-05B2-49CD-BC63-DE2EF70BC66D}">
      <formula1>$D$112:$D$123</formula1>
    </dataValidation>
    <dataValidation type="list" allowBlank="1" showInputMessage="1" showErrorMessage="1" sqref="D12:D22" xr:uid="{86BB4A50-5565-4089-AD7F-28F1BA8AE63A}">
      <formula1>$E$105:$E$106</formula1>
    </dataValidation>
    <dataValidation type="list" allowBlank="1" showInputMessage="1" showErrorMessage="1" sqref="C8" xr:uid="{813A9B44-D3C6-4692-BF59-D852C5D0D689}">
      <formula1>$B$111</formula1>
    </dataValidation>
    <dataValidation type="list" allowBlank="1" showInputMessage="1" showErrorMessage="1" sqref="B12:B23" xr:uid="{EBE42102-5E72-4AC3-B113-BAEA9F26F56E}">
      <formula1>$F$89:$F$114</formula1>
    </dataValidation>
    <dataValidation type="list" allowBlank="1" showInputMessage="1" showErrorMessage="1" sqref="C12:C23" xr:uid="{8C84AC8A-3DBA-4DA3-B550-A56EEA8B899E}">
      <formula1>$B$105:$B$109</formula1>
    </dataValidation>
  </dataValidations>
  <pageMargins left="0" right="0" top="0" bottom="0" header="0" footer="0"/>
  <pageSetup scale="5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EBEA-26F2-4DF4-A759-E4B64A29DF95}">
  <dimension ref="B1:O203"/>
  <sheetViews>
    <sheetView topLeftCell="A10" zoomScale="70" zoomScaleNormal="70" workbookViewId="0">
      <selection activeCell="K31" sqref="K31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27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>
        <f>647000+4372000</f>
        <v>5019000</v>
      </c>
      <c r="K12" s="54">
        <f>149900+J12</f>
        <v>5168900</v>
      </c>
      <c r="L12" s="55">
        <f t="shared" ref="L12:L23" si="0">(I12-K12)</f>
        <v>-2168900</v>
      </c>
      <c r="M12" s="55">
        <f t="shared" ref="M12:M23" si="1">+K12-I12</f>
        <v>2168900</v>
      </c>
      <c r="N12" s="56">
        <f>IF(L12&gt;=0,L12,0)</f>
        <v>0</v>
      </c>
      <c r="O12" s="57">
        <f t="shared" ref="O12:O23" si="2">IF(M12&gt;=0,M12,0)</f>
        <v>2168900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0</v>
      </c>
      <c r="I13" s="38">
        <f t="shared" ref="I13:I23" si="3">+F13+G13-H13</f>
        <v>3000000</v>
      </c>
      <c r="J13" s="54"/>
      <c r="K13" s="54">
        <f>+J13+0</f>
        <v>0</v>
      </c>
      <c r="L13" s="39">
        <f t="shared" si="0"/>
        <v>3000000</v>
      </c>
      <c r="M13" s="39">
        <f t="shared" si="1"/>
        <v>-3000000</v>
      </c>
      <c r="N13" s="40">
        <f t="shared" ref="N13:N23" si="4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>
        <v>5300</v>
      </c>
      <c r="K14" s="54">
        <f>220200+J14</f>
        <v>225500</v>
      </c>
      <c r="L14" s="39">
        <f t="shared" si="0"/>
        <v>94500</v>
      </c>
      <c r="M14" s="39">
        <f t="shared" si="1"/>
        <v>-94500</v>
      </c>
      <c r="N14" s="40">
        <f t="shared" si="4"/>
        <v>94500</v>
      </c>
      <c r="O14" s="37">
        <f t="shared" si="2"/>
        <v>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>
        <f>49500+50000+49500+49500+50000+49500+45000+49500+49500+49500+49500+49500+49500+49500+49500+49500+49500+49500+49500+49500+49500+49500+50000+49500+49500+49500+49500+49500+49500+49500+49500+49500+49500+49500+50000+49500+49900+49500+50000+49500</f>
        <v>1978400</v>
      </c>
      <c r="K15" s="54">
        <f>299000+J15</f>
        <v>2277400</v>
      </c>
      <c r="L15" s="39">
        <f t="shared" si="0"/>
        <v>-1077400</v>
      </c>
      <c r="M15" s="39">
        <f t="shared" si="1"/>
        <v>1077400</v>
      </c>
      <c r="N15" s="40">
        <f t="shared" si="4"/>
        <v>0</v>
      </c>
      <c r="O15" s="37">
        <f t="shared" si="2"/>
        <v>1077400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/>
      <c r="K16" s="54">
        <f>640000+J16</f>
        <v>640000</v>
      </c>
      <c r="L16" s="39">
        <f t="shared" si="0"/>
        <v>860000</v>
      </c>
      <c r="M16" s="39">
        <f t="shared" si="1"/>
        <v>-860000</v>
      </c>
      <c r="N16" s="40">
        <f t="shared" si="4"/>
        <v>860000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f>26500+J17</f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1362.72</v>
      </c>
      <c r="K18" s="54">
        <f>2902.98+J18</f>
        <v>4265.7</v>
      </c>
      <c r="L18" s="39">
        <f t="shared" si="0"/>
        <v>15734.3</v>
      </c>
      <c r="M18" s="39">
        <f t="shared" si="1"/>
        <v>-15734.3</v>
      </c>
      <c r="N18" s="40">
        <f t="shared" si="4"/>
        <v>15734.3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0</v>
      </c>
      <c r="H19" s="54">
        <v>0</v>
      </c>
      <c r="I19" s="38">
        <f t="shared" si="3"/>
        <v>58000000</v>
      </c>
      <c r="J19" s="54">
        <v>83811611</v>
      </c>
      <c r="K19" s="54">
        <f>+J19</f>
        <v>83811611</v>
      </c>
      <c r="L19" s="39">
        <f t="shared" si="0"/>
        <v>-25811611</v>
      </c>
      <c r="M19" s="39">
        <f t="shared" si="1"/>
        <v>25811611</v>
      </c>
      <c r="N19" s="40">
        <f t="shared" si="4"/>
        <v>0</v>
      </c>
      <c r="O19" s="37">
        <f t="shared" si="2"/>
        <v>25811611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f>5032.16+0.03</f>
        <v>5032.1899999999996</v>
      </c>
      <c r="K20" s="54">
        <f>3411.56+J20</f>
        <v>8443.75</v>
      </c>
      <c r="L20" s="39">
        <f t="shared" si="0"/>
        <v>31556.25</v>
      </c>
      <c r="M20" s="39">
        <f t="shared" si="1"/>
        <v>-31556.25</v>
      </c>
      <c r="N20" s="40">
        <f t="shared" si="4"/>
        <v>31556.25</v>
      </c>
      <c r="O20" s="37">
        <f t="shared" si="2"/>
        <v>0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/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30639663.109999999</v>
      </c>
      <c r="H24" s="42">
        <f t="shared" si="5"/>
        <v>0</v>
      </c>
      <c r="I24" s="42">
        <f t="shared" si="5"/>
        <v>98519663.109999999</v>
      </c>
      <c r="J24" s="42">
        <f t="shared" si="5"/>
        <v>90820705.909999996</v>
      </c>
      <c r="K24" s="42">
        <f t="shared" si="5"/>
        <v>122802283.56</v>
      </c>
      <c r="L24" s="42">
        <f t="shared" si="5"/>
        <v>-24282620.449999999</v>
      </c>
      <c r="M24" s="42">
        <f t="shared" si="5"/>
        <v>24282620.449999999</v>
      </c>
      <c r="N24" s="42">
        <f t="shared" si="5"/>
        <v>4775290.55</v>
      </c>
      <c r="O24" s="43">
        <f t="shared" si="5"/>
        <v>29057911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ht="42.75" customHeight="1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63" priority="8" operator="greaterThan">
      <formula>1</formula>
    </cfRule>
  </conditionalFormatting>
  <conditionalFormatting sqref="N12:N23">
    <cfRule type="cellIs" dxfId="62" priority="7" operator="greaterThan">
      <formula>1</formula>
    </cfRule>
  </conditionalFormatting>
  <conditionalFormatting sqref="N12:N23">
    <cfRule type="cellIs" dxfId="61" priority="6" operator="greaterThan">
      <formula>1</formula>
    </cfRule>
  </conditionalFormatting>
  <conditionalFormatting sqref="O12:O23">
    <cfRule type="cellIs" dxfId="60" priority="4" operator="greaterThan">
      <formula>1</formula>
    </cfRule>
    <cfRule type="cellIs" dxfId="59" priority="5" operator="greaterThan">
      <formula>1</formula>
    </cfRule>
  </conditionalFormatting>
  <conditionalFormatting sqref="O12:O23">
    <cfRule type="cellIs" dxfId="58" priority="1" operator="greaterThan">
      <formula>1</formula>
    </cfRule>
    <cfRule type="cellIs" dxfId="57" priority="2" operator="greaterThan">
      <formula>1</formula>
    </cfRule>
    <cfRule type="cellIs" dxfId="56" priority="3" operator="greaterThan">
      <formula>1</formula>
    </cfRule>
  </conditionalFormatting>
  <dataValidations count="5">
    <dataValidation type="list" allowBlank="1" showInputMessage="1" showErrorMessage="1" sqref="C12:C23" xr:uid="{110AFFDC-2604-474A-904C-F4BB883672E5}">
      <formula1>$B$105:$B$109</formula1>
    </dataValidation>
    <dataValidation type="list" allowBlank="1" showInputMessage="1" showErrorMessage="1" sqref="B12:B23" xr:uid="{187A3F18-6ED1-45EB-8DDD-4901A0B25176}">
      <formula1>$F$89:$F$114</formula1>
    </dataValidation>
    <dataValidation type="list" allowBlank="1" showInputMessage="1" showErrorMessage="1" sqref="C8" xr:uid="{ECDE1EA9-20CA-46D7-B84D-1549FA3BCBAE}">
      <formula1>$B$111</formula1>
    </dataValidation>
    <dataValidation type="list" allowBlank="1" showInputMessage="1" showErrorMessage="1" sqref="D12:D22" xr:uid="{85FC0C5C-7ACB-4473-8338-35B3D5E963C1}">
      <formula1>$E$105:$E$106</formula1>
    </dataValidation>
    <dataValidation type="list" allowBlank="1" showInputMessage="1" showErrorMessage="1" sqref="C9" xr:uid="{479EEDE6-1FE8-4FB0-86EF-5FA43AEF9743}">
      <formula1>$D$112:$D$123</formula1>
    </dataValidation>
  </dataValidations>
  <pageMargins left="0" right="0" top="0" bottom="0" header="0" footer="0"/>
  <pageSetup scale="5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6814-A3CC-47BA-A914-8876DD2F0A9C}">
  <dimension ref="B1:O203"/>
  <sheetViews>
    <sheetView zoomScale="70" zoomScaleNormal="70" workbookViewId="0">
      <selection activeCell="G18" sqref="G18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28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/>
      <c r="K12" s="54">
        <f>+J12+5168900</f>
        <v>5168900</v>
      </c>
      <c r="L12" s="55">
        <f t="shared" ref="L12:L23" si="0">(I12-K12)</f>
        <v>-2168900</v>
      </c>
      <c r="M12" s="55">
        <f t="shared" ref="M12:M23" si="1">+K12-I12</f>
        <v>2168900</v>
      </c>
      <c r="N12" s="56">
        <f>IF(L12&gt;=0,L12,0)</f>
        <v>0</v>
      </c>
      <c r="O12" s="57">
        <f t="shared" ref="O12:O23" si="2">IF(M12&gt;=0,M12,0)</f>
        <v>2168900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0</v>
      </c>
      <c r="I13" s="38">
        <f t="shared" ref="I13:I23" si="3">+F13+G13-H13</f>
        <v>3000000</v>
      </c>
      <c r="J13" s="54"/>
      <c r="K13" s="54">
        <f>+J13+0</f>
        <v>0</v>
      </c>
      <c r="L13" s="39">
        <f t="shared" si="0"/>
        <v>3000000</v>
      </c>
      <c r="M13" s="39">
        <f t="shared" si="1"/>
        <v>-3000000</v>
      </c>
      <c r="N13" s="40">
        <f t="shared" ref="N13:N23" si="4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>
        <f>6000+5500+5300+5300</f>
        <v>22100</v>
      </c>
      <c r="K14" s="54">
        <f>+J14+225500</f>
        <v>247600</v>
      </c>
      <c r="L14" s="39">
        <f t="shared" si="0"/>
        <v>72400</v>
      </c>
      <c r="M14" s="39">
        <f t="shared" si="1"/>
        <v>-72400</v>
      </c>
      <c r="N14" s="40">
        <f t="shared" si="4"/>
        <v>72400</v>
      </c>
      <c r="O14" s="37">
        <f t="shared" si="2"/>
        <v>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>
        <v>45000</v>
      </c>
      <c r="K15" s="54">
        <f>+J15+2277400</f>
        <v>2322400</v>
      </c>
      <c r="L15" s="39">
        <f t="shared" si="0"/>
        <v>-1122400</v>
      </c>
      <c r="M15" s="39">
        <f t="shared" si="1"/>
        <v>1122400</v>
      </c>
      <c r="N15" s="40">
        <f t="shared" si="4"/>
        <v>0</v>
      </c>
      <c r="O15" s="37">
        <f t="shared" si="2"/>
        <v>1122400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1</v>
      </c>
      <c r="H16" s="54">
        <v>0</v>
      </c>
      <c r="I16" s="38">
        <f t="shared" si="3"/>
        <v>1500001</v>
      </c>
      <c r="J16" s="54">
        <v>320000</v>
      </c>
      <c r="K16" s="54">
        <f>+J16+640000</f>
        <v>960000</v>
      </c>
      <c r="L16" s="39">
        <f t="shared" si="0"/>
        <v>540001</v>
      </c>
      <c r="M16" s="39">
        <f t="shared" si="1"/>
        <v>-540001</v>
      </c>
      <c r="N16" s="40">
        <f t="shared" si="4"/>
        <v>540001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f>+J17+26500</f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1597</v>
      </c>
      <c r="K18" s="54">
        <f>+J18+4265.7</f>
        <v>5862.7</v>
      </c>
      <c r="L18" s="39">
        <f t="shared" si="0"/>
        <v>14137.3</v>
      </c>
      <c r="M18" s="39">
        <f t="shared" si="1"/>
        <v>-14137.3</v>
      </c>
      <c r="N18" s="40">
        <f t="shared" si="4"/>
        <v>14137.3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0</v>
      </c>
      <c r="H19" s="54">
        <v>0</v>
      </c>
      <c r="I19" s="38">
        <f t="shared" si="3"/>
        <v>58000000</v>
      </c>
      <c r="J19" s="54"/>
      <c r="K19" s="54">
        <f>83811611+J19</f>
        <v>83811611</v>
      </c>
      <c r="L19" s="39">
        <f t="shared" si="0"/>
        <v>-25811611</v>
      </c>
      <c r="M19" s="39">
        <f t="shared" si="1"/>
        <v>25811611</v>
      </c>
      <c r="N19" s="40">
        <f t="shared" si="4"/>
        <v>0</v>
      </c>
      <c r="O19" s="37">
        <f t="shared" si="2"/>
        <v>25811611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v>8774</v>
      </c>
      <c r="K20" s="54">
        <f>+J20+8443.75</f>
        <v>17217.75</v>
      </c>
      <c r="L20" s="39">
        <f t="shared" si="0"/>
        <v>22782.25</v>
      </c>
      <c r="M20" s="39">
        <f t="shared" si="1"/>
        <v>-22782.25</v>
      </c>
      <c r="N20" s="40">
        <f t="shared" si="4"/>
        <v>22782.25</v>
      </c>
      <c r="O20" s="37">
        <f t="shared" si="2"/>
        <v>0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f>+J21+11182198.85</f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f>+J22+19457464.26</f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/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30639664.109999999</v>
      </c>
      <c r="H24" s="42">
        <f t="shared" si="5"/>
        <v>0</v>
      </c>
      <c r="I24" s="42">
        <f t="shared" si="5"/>
        <v>98519664.109999999</v>
      </c>
      <c r="J24" s="42">
        <f t="shared" si="5"/>
        <v>397471</v>
      </c>
      <c r="K24" s="42">
        <f t="shared" si="5"/>
        <v>123199754.56</v>
      </c>
      <c r="L24" s="42">
        <f t="shared" si="5"/>
        <v>-24680090.449999999</v>
      </c>
      <c r="M24" s="42">
        <f t="shared" si="5"/>
        <v>24680090.449999999</v>
      </c>
      <c r="N24" s="42">
        <f t="shared" si="5"/>
        <v>4422820.55</v>
      </c>
      <c r="O24" s="43">
        <f t="shared" si="5"/>
        <v>29102911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ht="35.25" customHeight="1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55" priority="8" operator="greaterThan">
      <formula>1</formula>
    </cfRule>
  </conditionalFormatting>
  <conditionalFormatting sqref="N12:N23">
    <cfRule type="cellIs" dxfId="54" priority="7" operator="greaterThan">
      <formula>1</formula>
    </cfRule>
  </conditionalFormatting>
  <conditionalFormatting sqref="N12:N23">
    <cfRule type="cellIs" dxfId="53" priority="6" operator="greaterThan">
      <formula>1</formula>
    </cfRule>
  </conditionalFormatting>
  <conditionalFormatting sqref="O12:O23">
    <cfRule type="cellIs" dxfId="52" priority="4" operator="greaterThan">
      <formula>1</formula>
    </cfRule>
    <cfRule type="cellIs" dxfId="51" priority="5" operator="greaterThan">
      <formula>1</formula>
    </cfRule>
  </conditionalFormatting>
  <conditionalFormatting sqref="O12:O23">
    <cfRule type="cellIs" dxfId="50" priority="1" operator="greaterThan">
      <formula>1</formula>
    </cfRule>
    <cfRule type="cellIs" dxfId="49" priority="2" operator="greaterThan">
      <formula>1</formula>
    </cfRule>
    <cfRule type="cellIs" dxfId="48" priority="3" operator="greaterThan">
      <formula>1</formula>
    </cfRule>
  </conditionalFormatting>
  <dataValidations count="5">
    <dataValidation type="list" allowBlank="1" showInputMessage="1" showErrorMessage="1" sqref="C9" xr:uid="{3C7CBEF6-1DD6-463F-BDCA-3A469C94B9A7}">
      <formula1>$D$112:$D$123</formula1>
    </dataValidation>
    <dataValidation type="list" allowBlank="1" showInputMessage="1" showErrorMessage="1" sqref="D12:D22" xr:uid="{B12003EA-89C9-4777-9E6E-646839CAA08B}">
      <formula1>$E$105:$E$106</formula1>
    </dataValidation>
    <dataValidation type="list" allowBlank="1" showInputMessage="1" showErrorMessage="1" sqref="C8" xr:uid="{3C924D5C-0EA1-42E3-9DD8-F3D729217434}">
      <formula1>$B$111</formula1>
    </dataValidation>
    <dataValidation type="list" allowBlank="1" showInputMessage="1" showErrorMessage="1" sqref="B12:B23" xr:uid="{42E17774-E17D-431E-A35B-AF471E8E2D04}">
      <formula1>$F$89:$F$114</formula1>
    </dataValidation>
    <dataValidation type="list" allowBlank="1" showInputMessage="1" showErrorMessage="1" sqref="C12:C23" xr:uid="{5819BF41-6409-4D79-B13C-FA6121BA5A5F}">
      <formula1>$B$105:$B$109</formula1>
    </dataValidation>
  </dataValidations>
  <pageMargins left="0" right="0" top="0" bottom="0" header="0" footer="0"/>
  <pageSetup scale="45" orientation="landscape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071C-3AE8-4FEE-84D6-94238C6A51A6}">
  <dimension ref="B1:O203"/>
  <sheetViews>
    <sheetView topLeftCell="A10" zoomScale="70" zoomScaleNormal="70" workbookViewId="0">
      <selection activeCell="J16" sqref="J16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29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/>
      <c r="K12" s="54">
        <v>5168900</v>
      </c>
      <c r="L12" s="55">
        <f t="shared" ref="L12:L23" si="0">(I12-K12)</f>
        <v>-2168900</v>
      </c>
      <c r="M12" s="55">
        <f t="shared" ref="M12:M23" si="1">+K12-I12</f>
        <v>2168900</v>
      </c>
      <c r="N12" s="56">
        <f>IF(L12&gt;=0,L12,0)</f>
        <v>0</v>
      </c>
      <c r="O12" s="57">
        <f t="shared" ref="O12:O23" si="2">IF(M12&gt;=0,M12,0)</f>
        <v>2168900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0</v>
      </c>
      <c r="I13" s="38">
        <f t="shared" ref="I13:I23" si="3">+F13+G13-H13</f>
        <v>3000000</v>
      </c>
      <c r="J13" s="54"/>
      <c r="K13" s="54">
        <v>0</v>
      </c>
      <c r="L13" s="39">
        <f t="shared" si="0"/>
        <v>3000000</v>
      </c>
      <c r="M13" s="39">
        <f t="shared" si="1"/>
        <v>-3000000</v>
      </c>
      <c r="N13" s="40">
        <f t="shared" ref="N13:N23" si="4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/>
      <c r="K14" s="54">
        <v>247600</v>
      </c>
      <c r="L14" s="39">
        <f t="shared" si="0"/>
        <v>72400</v>
      </c>
      <c r="M14" s="39">
        <f t="shared" si="1"/>
        <v>-72400</v>
      </c>
      <c r="N14" s="40">
        <f t="shared" si="4"/>
        <v>72400</v>
      </c>
      <c r="O14" s="37">
        <f t="shared" si="2"/>
        <v>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/>
      <c r="K15" s="54">
        <v>2322400</v>
      </c>
      <c r="L15" s="39">
        <f t="shared" si="0"/>
        <v>-1122400</v>
      </c>
      <c r="M15" s="39">
        <f t="shared" si="1"/>
        <v>1122400</v>
      </c>
      <c r="N15" s="40">
        <f t="shared" si="4"/>
        <v>0</v>
      </c>
      <c r="O15" s="37">
        <f t="shared" si="2"/>
        <v>1122400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>
        <v>206000</v>
      </c>
      <c r="K16" s="54">
        <f>960000+J16</f>
        <v>1166000</v>
      </c>
      <c r="L16" s="39">
        <f t="shared" si="0"/>
        <v>334000</v>
      </c>
      <c r="M16" s="39">
        <f t="shared" si="1"/>
        <v>-334000</v>
      </c>
      <c r="N16" s="40">
        <f t="shared" si="4"/>
        <v>334000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993.52</v>
      </c>
      <c r="K18" s="54">
        <f>5862.7+J18</f>
        <v>6856.2199999999993</v>
      </c>
      <c r="L18" s="39">
        <f t="shared" si="0"/>
        <v>13143.78</v>
      </c>
      <c r="M18" s="39">
        <f t="shared" si="1"/>
        <v>-13143.78</v>
      </c>
      <c r="N18" s="40">
        <f t="shared" si="4"/>
        <v>13143.78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0</v>
      </c>
      <c r="H19" s="54">
        <v>0</v>
      </c>
      <c r="I19" s="38">
        <f t="shared" si="3"/>
        <v>58000000</v>
      </c>
      <c r="J19" s="54"/>
      <c r="K19" s="54">
        <v>83811611</v>
      </c>
      <c r="L19" s="39">
        <f t="shared" si="0"/>
        <v>-25811611</v>
      </c>
      <c r="M19" s="39">
        <f t="shared" si="1"/>
        <v>25811611</v>
      </c>
      <c r="N19" s="40">
        <f t="shared" si="4"/>
        <v>0</v>
      </c>
      <c r="O19" s="37">
        <f t="shared" si="2"/>
        <v>25811611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v>8228.2199999999993</v>
      </c>
      <c r="K20" s="54">
        <f>17217.75+J20</f>
        <v>25445.97</v>
      </c>
      <c r="L20" s="39">
        <f t="shared" si="0"/>
        <v>14554.029999999999</v>
      </c>
      <c r="M20" s="39">
        <f t="shared" si="1"/>
        <v>-14554.029999999999</v>
      </c>
      <c r="N20" s="40">
        <f t="shared" si="4"/>
        <v>14554.029999999999</v>
      </c>
      <c r="O20" s="37">
        <f t="shared" si="2"/>
        <v>0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/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30639663.109999999</v>
      </c>
      <c r="H24" s="42">
        <f t="shared" si="5"/>
        <v>0</v>
      </c>
      <c r="I24" s="42">
        <f t="shared" si="5"/>
        <v>98519663.109999999</v>
      </c>
      <c r="J24" s="42">
        <f t="shared" si="5"/>
        <v>215221.74</v>
      </c>
      <c r="K24" s="42">
        <f t="shared" si="5"/>
        <v>123414976.3</v>
      </c>
      <c r="L24" s="42">
        <f t="shared" si="5"/>
        <v>-24895313.189999998</v>
      </c>
      <c r="M24" s="42">
        <f t="shared" si="5"/>
        <v>24895313.189999998</v>
      </c>
      <c r="N24" s="42">
        <f t="shared" si="5"/>
        <v>4207597.8099999996</v>
      </c>
      <c r="O24" s="43">
        <f t="shared" si="5"/>
        <v>29102911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ht="35.25" customHeight="1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47" priority="8" operator="greaterThan">
      <formula>1</formula>
    </cfRule>
  </conditionalFormatting>
  <conditionalFormatting sqref="N12:N23">
    <cfRule type="cellIs" dxfId="46" priority="7" operator="greaterThan">
      <formula>1</formula>
    </cfRule>
  </conditionalFormatting>
  <conditionalFormatting sqref="N12:N23">
    <cfRule type="cellIs" dxfId="45" priority="6" operator="greaterThan">
      <formula>1</formula>
    </cfRule>
  </conditionalFormatting>
  <conditionalFormatting sqref="O12:O23">
    <cfRule type="cellIs" dxfId="44" priority="4" operator="greaterThan">
      <formula>1</formula>
    </cfRule>
    <cfRule type="cellIs" dxfId="43" priority="5" operator="greaterThan">
      <formula>1</formula>
    </cfRule>
  </conditionalFormatting>
  <conditionalFormatting sqref="O12:O23">
    <cfRule type="cellIs" dxfId="42" priority="1" operator="greaterThan">
      <formula>1</formula>
    </cfRule>
    <cfRule type="cellIs" dxfId="41" priority="2" operator="greaterThan">
      <formula>1</formula>
    </cfRule>
    <cfRule type="cellIs" dxfId="40" priority="3" operator="greaterThan">
      <formula>1</formula>
    </cfRule>
  </conditionalFormatting>
  <dataValidations count="5">
    <dataValidation type="list" allowBlank="1" showInputMessage="1" showErrorMessage="1" sqref="C12:C23" xr:uid="{E9564BB7-D6A4-44B0-A3ED-D454D46A1F75}">
      <formula1>$B$105:$B$109</formula1>
    </dataValidation>
    <dataValidation type="list" allowBlank="1" showInputMessage="1" showErrorMessage="1" sqref="B12:B23" xr:uid="{03EA18E1-4C63-4A0F-AFEB-F27E7F0EC62A}">
      <formula1>$F$89:$F$114</formula1>
    </dataValidation>
    <dataValidation type="list" allowBlank="1" showInputMessage="1" showErrorMessage="1" sqref="C8" xr:uid="{355D5566-3126-41C7-9185-A96BF0285E82}">
      <formula1>$B$111</formula1>
    </dataValidation>
    <dataValidation type="list" allowBlank="1" showInputMessage="1" showErrorMessage="1" sqref="D12:D22" xr:uid="{F2FD35F7-F7A9-4BB3-8F93-4FD5DC445F4B}">
      <formula1>$E$105:$E$106</formula1>
    </dataValidation>
    <dataValidation type="list" allowBlank="1" showInputMessage="1" showErrorMessage="1" sqref="C9" xr:uid="{A049B104-59FD-469C-8971-482DAA2454E5}">
      <formula1>$D$112:$D$123</formula1>
    </dataValidation>
  </dataValidations>
  <pageMargins left="0" right="0" top="0" bottom="0" header="0" footer="0"/>
  <pageSetup scale="45" fitToHeight="0" orientation="landscape" horizontalDpi="360" verticalDpi="36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19E3-01DD-44AB-8734-4E9E130B2F0D}">
  <dimension ref="B1:O203"/>
  <sheetViews>
    <sheetView topLeftCell="A9" zoomScale="70" zoomScaleNormal="70" workbookViewId="0">
      <selection activeCell="G24" sqref="G24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30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>
        <f>58007+23200</f>
        <v>81207</v>
      </c>
      <c r="K12" s="54">
        <f>+J12+5168900</f>
        <v>5250107</v>
      </c>
      <c r="L12" s="55">
        <f t="shared" ref="L12:L23" si="0">(I12-K12)</f>
        <v>-2250107</v>
      </c>
      <c r="M12" s="55">
        <f t="shared" ref="M12:M23" si="1">+K12-I12</f>
        <v>2250107</v>
      </c>
      <c r="N12" s="56">
        <f>IF(L12&gt;=0,L12,0)</f>
        <v>0</v>
      </c>
      <c r="O12" s="57">
        <f t="shared" ref="O12:O23" si="2">IF(M12&gt;=0,M12,0)</f>
        <v>2250107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0</v>
      </c>
      <c r="I13" s="38">
        <f t="shared" ref="I13:I23" si="3">+F13+G13-H13</f>
        <v>3000000</v>
      </c>
      <c r="J13" s="54"/>
      <c r="K13" s="54">
        <f>+J13</f>
        <v>0</v>
      </c>
      <c r="L13" s="39">
        <f t="shared" si="0"/>
        <v>3000000</v>
      </c>
      <c r="M13" s="39">
        <f t="shared" si="1"/>
        <v>-3000000</v>
      </c>
      <c r="N13" s="40">
        <f t="shared" ref="N13:N23" si="4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>
        <v>6000</v>
      </c>
      <c r="K14" s="54">
        <f>+J14+247600</f>
        <v>253600</v>
      </c>
      <c r="L14" s="39">
        <f t="shared" si="0"/>
        <v>66400</v>
      </c>
      <c r="M14" s="39">
        <f t="shared" si="1"/>
        <v>-66400</v>
      </c>
      <c r="N14" s="40">
        <f t="shared" si="4"/>
        <v>66400</v>
      </c>
      <c r="O14" s="37">
        <f t="shared" si="2"/>
        <v>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>
        <v>58007</v>
      </c>
      <c r="K15" s="54">
        <f>+J15+2322400</f>
        <v>2380407</v>
      </c>
      <c r="L15" s="39">
        <f t="shared" si="0"/>
        <v>-1180407</v>
      </c>
      <c r="M15" s="39">
        <f t="shared" si="1"/>
        <v>1180407</v>
      </c>
      <c r="N15" s="40">
        <f t="shared" si="4"/>
        <v>0</v>
      </c>
      <c r="O15" s="37">
        <f t="shared" si="2"/>
        <v>1180407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/>
      <c r="K16" s="54">
        <f>+J16+1166000</f>
        <v>1166000</v>
      </c>
      <c r="L16" s="39">
        <f t="shared" si="0"/>
        <v>334000</v>
      </c>
      <c r="M16" s="39">
        <f t="shared" si="1"/>
        <v>-334000</v>
      </c>
      <c r="N16" s="40">
        <f t="shared" si="4"/>
        <v>334000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f>+J17+26500</f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1039</v>
      </c>
      <c r="K18" s="54">
        <f>+J18+6856.22</f>
        <v>7895.22</v>
      </c>
      <c r="L18" s="39">
        <f t="shared" si="0"/>
        <v>12104.779999999999</v>
      </c>
      <c r="M18" s="39">
        <f t="shared" si="1"/>
        <v>-12104.779999999999</v>
      </c>
      <c r="N18" s="40">
        <f t="shared" si="4"/>
        <v>12104.779999999999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25811611</v>
      </c>
      <c r="H19" s="54">
        <v>0</v>
      </c>
      <c r="I19" s="38">
        <f t="shared" si="3"/>
        <v>83811611</v>
      </c>
      <c r="J19" s="54"/>
      <c r="K19" s="54">
        <f>+J19+83811611</f>
        <v>83811611</v>
      </c>
      <c r="L19" s="39">
        <f t="shared" si="0"/>
        <v>0</v>
      </c>
      <c r="M19" s="39">
        <f t="shared" si="1"/>
        <v>0</v>
      </c>
      <c r="N19" s="40">
        <f t="shared" si="4"/>
        <v>0</v>
      </c>
      <c r="O19" s="37">
        <f t="shared" si="2"/>
        <v>0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v>8428</v>
      </c>
      <c r="K20" s="54">
        <f>+J20+25445.97</f>
        <v>33873.97</v>
      </c>
      <c r="L20" s="39">
        <f t="shared" si="0"/>
        <v>6126.0299999999988</v>
      </c>
      <c r="M20" s="39">
        <f t="shared" si="1"/>
        <v>-6126.0299999999988</v>
      </c>
      <c r="N20" s="40">
        <f t="shared" si="4"/>
        <v>6126.0299999999988</v>
      </c>
      <c r="O20" s="37">
        <f t="shared" si="2"/>
        <v>0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f>+J21+11182198.85</f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f>+J22+19457464.26</f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/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56451274.109999999</v>
      </c>
      <c r="H24" s="42">
        <f t="shared" si="5"/>
        <v>0</v>
      </c>
      <c r="I24" s="42">
        <f t="shared" si="5"/>
        <v>124331274.11</v>
      </c>
      <c r="J24" s="42">
        <f t="shared" si="5"/>
        <v>154681</v>
      </c>
      <c r="K24" s="42">
        <f t="shared" si="5"/>
        <v>123569657.3</v>
      </c>
      <c r="L24" s="42">
        <f t="shared" si="5"/>
        <v>761616.81</v>
      </c>
      <c r="M24" s="42">
        <f t="shared" si="5"/>
        <v>-761616.81</v>
      </c>
      <c r="N24" s="42">
        <f t="shared" si="5"/>
        <v>4192130.8099999996</v>
      </c>
      <c r="O24" s="43">
        <f t="shared" si="5"/>
        <v>3430514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ht="35.25" customHeight="1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39" priority="8" operator="greaterThan">
      <formula>1</formula>
    </cfRule>
  </conditionalFormatting>
  <conditionalFormatting sqref="N12:N23">
    <cfRule type="cellIs" dxfId="38" priority="7" operator="greaterThan">
      <formula>1</formula>
    </cfRule>
  </conditionalFormatting>
  <conditionalFormatting sqref="N12:N23">
    <cfRule type="cellIs" dxfId="37" priority="6" operator="greaterThan">
      <formula>1</formula>
    </cfRule>
  </conditionalFormatting>
  <conditionalFormatting sqref="O12:O23">
    <cfRule type="cellIs" dxfId="36" priority="4" operator="greaterThan">
      <formula>1</formula>
    </cfRule>
    <cfRule type="cellIs" dxfId="35" priority="5" operator="greaterThan">
      <formula>1</formula>
    </cfRule>
  </conditionalFormatting>
  <conditionalFormatting sqref="O12:O23">
    <cfRule type="cellIs" dxfId="34" priority="1" operator="greaterThan">
      <formula>1</formula>
    </cfRule>
    <cfRule type="cellIs" dxfId="33" priority="2" operator="greaterThan">
      <formula>1</formula>
    </cfRule>
    <cfRule type="cellIs" dxfId="32" priority="3" operator="greaterThan">
      <formula>1</formula>
    </cfRule>
  </conditionalFormatting>
  <dataValidations count="5">
    <dataValidation type="list" allowBlank="1" showInputMessage="1" showErrorMessage="1" sqref="C9" xr:uid="{DBD80D0A-B78D-4154-BF4E-2B59CCCB1BBE}">
      <formula1>$D$112:$D$123</formula1>
    </dataValidation>
    <dataValidation type="list" allowBlank="1" showInputMessage="1" showErrorMessage="1" sqref="D12:D22" xr:uid="{D98AE97D-330C-45EF-B336-EE6687AD86D4}">
      <formula1>$E$105:$E$106</formula1>
    </dataValidation>
    <dataValidation type="list" allowBlank="1" showInputMessage="1" showErrorMessage="1" sqref="C8" xr:uid="{224E1A34-29E9-4AF7-80BE-E409852CB235}">
      <formula1>$B$111</formula1>
    </dataValidation>
    <dataValidation type="list" allowBlank="1" showInputMessage="1" showErrorMessage="1" sqref="B12:B23" xr:uid="{9184D754-3379-4BA3-9B8F-8676A19CEDED}">
      <formula1>$F$89:$F$114</formula1>
    </dataValidation>
    <dataValidation type="list" allowBlank="1" showInputMessage="1" showErrorMessage="1" sqref="C12:C23" xr:uid="{A520137F-DE44-4FC5-BF2D-7A0395DDA18C}">
      <formula1>$B$105:$B$109</formula1>
    </dataValidation>
  </dataValidations>
  <pageMargins left="0" right="0" top="0" bottom="0" header="0" footer="0"/>
  <pageSetup scale="45" orientation="landscape" horizontalDpi="360" verticalDpi="36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15A9-B46C-4394-A510-006B7A161A7D}">
  <dimension ref="B1:O203"/>
  <sheetViews>
    <sheetView topLeftCell="F9" zoomScale="70" zoomScaleNormal="70" workbookViewId="0">
      <selection activeCell="K28" sqref="K28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31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>
        <f>23200+50000+34800+17400</f>
        <v>125400</v>
      </c>
      <c r="K12" s="54">
        <f>+J12+5250107</f>
        <v>5375507</v>
      </c>
      <c r="L12" s="55">
        <f t="shared" ref="L12:L23" si="0">(I12-K12)</f>
        <v>-2375507</v>
      </c>
      <c r="M12" s="55">
        <f t="shared" ref="M12:M23" si="1">+K12-I12</f>
        <v>2375507</v>
      </c>
      <c r="N12" s="56">
        <f>IF(L12&gt;=0,L12,0)</f>
        <v>0</v>
      </c>
      <c r="O12" s="57">
        <f t="shared" ref="O12:O23" si="2">IF(M12&gt;=0,M12,0)</f>
        <v>2375507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0</v>
      </c>
      <c r="I13" s="38">
        <f t="shared" ref="I13:I23" si="3">+F13+G13-H13</f>
        <v>3000000</v>
      </c>
      <c r="J13" s="54"/>
      <c r="K13" s="54">
        <f>+J130</f>
        <v>0</v>
      </c>
      <c r="L13" s="39">
        <f t="shared" si="0"/>
        <v>3000000</v>
      </c>
      <c r="M13" s="39">
        <f t="shared" si="1"/>
        <v>-3000000</v>
      </c>
      <c r="N13" s="40">
        <f t="shared" ref="N13:N23" si="4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>
        <f>5800+11600+5800+5800+6000+6000</f>
        <v>41000</v>
      </c>
      <c r="K14" s="54">
        <f>+J14+253600</f>
        <v>294600</v>
      </c>
      <c r="L14" s="39">
        <f t="shared" si="0"/>
        <v>25400</v>
      </c>
      <c r="M14" s="39">
        <f t="shared" si="1"/>
        <v>-25400</v>
      </c>
      <c r="N14" s="40">
        <f t="shared" si="4"/>
        <v>25400</v>
      </c>
      <c r="O14" s="37">
        <f t="shared" si="2"/>
        <v>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/>
      <c r="K15" s="54">
        <f>+J15+2380407</f>
        <v>2380407</v>
      </c>
      <c r="L15" s="39">
        <f t="shared" si="0"/>
        <v>-1180407</v>
      </c>
      <c r="M15" s="39">
        <f t="shared" si="1"/>
        <v>1180407</v>
      </c>
      <c r="N15" s="40">
        <f t="shared" si="4"/>
        <v>0</v>
      </c>
      <c r="O15" s="37">
        <f t="shared" si="2"/>
        <v>1180407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/>
      <c r="K16" s="54">
        <f>+J16+1166000</f>
        <v>1166000</v>
      </c>
      <c r="L16" s="39">
        <f t="shared" si="0"/>
        <v>334000</v>
      </c>
      <c r="M16" s="39">
        <f t="shared" si="1"/>
        <v>-334000</v>
      </c>
      <c r="N16" s="40">
        <f t="shared" si="4"/>
        <v>334000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f>+J17+26500</f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1052.3599999999999</v>
      </c>
      <c r="K18" s="54">
        <f>+J18+7895.22</f>
        <v>8947.58</v>
      </c>
      <c r="L18" s="39">
        <f t="shared" si="0"/>
        <v>11052.42</v>
      </c>
      <c r="M18" s="39">
        <f t="shared" si="1"/>
        <v>-11052.42</v>
      </c>
      <c r="N18" s="40">
        <f t="shared" si="4"/>
        <v>11052.42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25811611</v>
      </c>
      <c r="H19" s="54">
        <v>0</v>
      </c>
      <c r="I19" s="38">
        <f t="shared" si="3"/>
        <v>83811611</v>
      </c>
      <c r="J19" s="54"/>
      <c r="K19" s="54">
        <f>+J19+83811611</f>
        <v>83811611</v>
      </c>
      <c r="L19" s="39">
        <f t="shared" si="0"/>
        <v>0</v>
      </c>
      <c r="M19" s="39">
        <f t="shared" si="1"/>
        <v>0</v>
      </c>
      <c r="N19" s="40">
        <f t="shared" si="4"/>
        <v>0</v>
      </c>
      <c r="O19" s="37">
        <f t="shared" si="2"/>
        <v>0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v>8287.07</v>
      </c>
      <c r="K20" s="54">
        <f>+J20+33873.97</f>
        <v>42161.04</v>
      </c>
      <c r="L20" s="39">
        <f t="shared" si="0"/>
        <v>-2161.0400000000009</v>
      </c>
      <c r="M20" s="39">
        <f t="shared" si="1"/>
        <v>2161.0400000000009</v>
      </c>
      <c r="N20" s="40">
        <f t="shared" si="4"/>
        <v>0</v>
      </c>
      <c r="O20" s="37">
        <f t="shared" si="2"/>
        <v>2161.0400000000009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/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56451274.109999999</v>
      </c>
      <c r="H24" s="42">
        <f t="shared" si="5"/>
        <v>0</v>
      </c>
      <c r="I24" s="42">
        <f t="shared" si="5"/>
        <v>124331274.11</v>
      </c>
      <c r="J24" s="42">
        <f t="shared" si="5"/>
        <v>175739.43</v>
      </c>
      <c r="K24" s="42">
        <f t="shared" si="5"/>
        <v>123745396.73</v>
      </c>
      <c r="L24" s="42">
        <f t="shared" si="5"/>
        <v>585877.38</v>
      </c>
      <c r="M24" s="42">
        <f t="shared" si="5"/>
        <v>-585877.38</v>
      </c>
      <c r="N24" s="42">
        <f t="shared" si="5"/>
        <v>4143952.42</v>
      </c>
      <c r="O24" s="43">
        <f t="shared" si="5"/>
        <v>3558075.04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ht="35.25" customHeight="1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31" priority="8" operator="greaterThan">
      <formula>1</formula>
    </cfRule>
  </conditionalFormatting>
  <conditionalFormatting sqref="N12:N23">
    <cfRule type="cellIs" dxfId="30" priority="7" operator="greaterThan">
      <formula>1</formula>
    </cfRule>
  </conditionalFormatting>
  <conditionalFormatting sqref="N12:N23">
    <cfRule type="cellIs" dxfId="29" priority="6" operator="greaterThan">
      <formula>1</formula>
    </cfRule>
  </conditionalFormatting>
  <conditionalFormatting sqref="O12:O23">
    <cfRule type="cellIs" dxfId="28" priority="4" operator="greaterThan">
      <formula>1</formula>
    </cfRule>
    <cfRule type="cellIs" dxfId="27" priority="5" operator="greaterThan">
      <formula>1</formula>
    </cfRule>
  </conditionalFormatting>
  <conditionalFormatting sqref="O12:O23">
    <cfRule type="cellIs" dxfId="26" priority="1" operator="greaterThan">
      <formula>1</formula>
    </cfRule>
    <cfRule type="cellIs" dxfId="25" priority="2" operator="greaterThan">
      <formula>1</formula>
    </cfRule>
    <cfRule type="cellIs" dxfId="24" priority="3" operator="greaterThan">
      <formula>1</formula>
    </cfRule>
  </conditionalFormatting>
  <dataValidations count="5">
    <dataValidation type="list" allowBlank="1" showInputMessage="1" showErrorMessage="1" sqref="C12:C23" xr:uid="{E9F18705-3B33-4C38-99AE-FAEEA8D4136D}">
      <formula1>$B$105:$B$109</formula1>
    </dataValidation>
    <dataValidation type="list" allowBlank="1" showInputMessage="1" showErrorMessage="1" sqref="B12:B23" xr:uid="{B97C6044-FEAE-4735-ACB2-166123AEC696}">
      <formula1>$F$89:$F$114</formula1>
    </dataValidation>
    <dataValidation type="list" allowBlank="1" showInputMessage="1" showErrorMessage="1" sqref="C8" xr:uid="{21CC82EE-DE98-4C32-982C-FB487A9F4F8D}">
      <formula1>$B$111</formula1>
    </dataValidation>
    <dataValidation type="list" allowBlank="1" showInputMessage="1" showErrorMessage="1" sqref="D12:D22" xr:uid="{F5F55769-E512-42D2-86DB-0356D7A8318F}">
      <formula1>$E$105:$E$106</formula1>
    </dataValidation>
    <dataValidation type="list" allowBlank="1" showInputMessage="1" showErrorMessage="1" sqref="C9" xr:uid="{0611D620-C295-4D04-B0E7-622983E3FAD6}">
      <formula1>$D$112:$D$123</formula1>
    </dataValidation>
  </dataValidations>
  <pageMargins left="0" right="0" top="0" bottom="0" header="0" footer="0"/>
  <pageSetup scale="45" orientation="landscape" horizontalDpi="360" verticalDpi="36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5988-841F-46F4-BDE9-E608386CE7C9}">
  <dimension ref="B1:O203"/>
  <sheetViews>
    <sheetView topLeftCell="B7" zoomScale="70" zoomScaleNormal="70" workbookViewId="0">
      <selection activeCell="G19" sqref="G19"/>
    </sheetView>
  </sheetViews>
  <sheetFormatPr baseColWidth="10" defaultColWidth="50.7109375" defaultRowHeight="15" x14ac:dyDescent="0.25"/>
  <cols>
    <col min="1" max="1" width="3.5703125" customWidth="1"/>
    <col min="2" max="2" width="20.5703125" customWidth="1"/>
    <col min="3" max="3" width="12.85546875" customWidth="1"/>
    <col min="4" max="4" width="12.140625" bestFit="1" customWidth="1"/>
    <col min="5" max="5" width="27.5703125" customWidth="1"/>
    <col min="6" max="6" width="22.7109375" customWidth="1"/>
    <col min="7" max="7" width="21.85546875" customWidth="1"/>
    <col min="8" max="8" width="20.42578125" customWidth="1"/>
    <col min="9" max="9" width="25.28515625" customWidth="1"/>
    <col min="10" max="10" width="23.140625" customWidth="1"/>
    <col min="11" max="11" width="26" customWidth="1"/>
    <col min="12" max="13" width="14.28515625" hidden="1" customWidth="1"/>
    <col min="14" max="14" width="20.140625" customWidth="1"/>
    <col min="15" max="15" width="26.85546875" customWidth="1"/>
    <col min="258" max="258" width="3.5703125" customWidth="1"/>
    <col min="259" max="259" width="14.85546875" customWidth="1"/>
    <col min="260" max="260" width="14.5703125" customWidth="1"/>
    <col min="261" max="261" width="12.140625" customWidth="1"/>
    <col min="262" max="262" width="11.140625" customWidth="1"/>
    <col min="263" max="263" width="13.85546875" customWidth="1"/>
    <col min="264" max="264" width="12.7109375" customWidth="1"/>
    <col min="265" max="265" width="15.7109375" customWidth="1"/>
    <col min="266" max="266" width="15.140625" customWidth="1"/>
    <col min="267" max="267" width="14.28515625" customWidth="1"/>
    <col min="268" max="268" width="16.5703125" customWidth="1"/>
    <col min="269" max="269" width="13.7109375" customWidth="1"/>
    <col min="270" max="270" width="15.7109375" customWidth="1"/>
    <col min="271" max="271" width="11.85546875" customWidth="1"/>
    <col min="514" max="514" width="3.5703125" customWidth="1"/>
    <col min="515" max="515" width="14.85546875" customWidth="1"/>
    <col min="516" max="516" width="14.5703125" customWidth="1"/>
    <col min="517" max="517" width="12.140625" customWidth="1"/>
    <col min="518" max="518" width="11.140625" customWidth="1"/>
    <col min="519" max="519" width="13.85546875" customWidth="1"/>
    <col min="520" max="520" width="12.7109375" customWidth="1"/>
    <col min="521" max="521" width="15.7109375" customWidth="1"/>
    <col min="522" max="522" width="15.140625" customWidth="1"/>
    <col min="523" max="523" width="14.28515625" customWidth="1"/>
    <col min="524" max="524" width="16.5703125" customWidth="1"/>
    <col min="525" max="525" width="13.7109375" customWidth="1"/>
    <col min="526" max="526" width="15.7109375" customWidth="1"/>
    <col min="527" max="527" width="11.85546875" customWidth="1"/>
    <col min="770" max="770" width="3.5703125" customWidth="1"/>
    <col min="771" max="771" width="14.85546875" customWidth="1"/>
    <col min="772" max="772" width="14.5703125" customWidth="1"/>
    <col min="773" max="773" width="12.140625" customWidth="1"/>
    <col min="774" max="774" width="11.140625" customWidth="1"/>
    <col min="775" max="775" width="13.85546875" customWidth="1"/>
    <col min="776" max="776" width="12.7109375" customWidth="1"/>
    <col min="777" max="777" width="15.7109375" customWidth="1"/>
    <col min="778" max="778" width="15.140625" customWidth="1"/>
    <col min="779" max="779" width="14.28515625" customWidth="1"/>
    <col min="780" max="780" width="16.5703125" customWidth="1"/>
    <col min="781" max="781" width="13.7109375" customWidth="1"/>
    <col min="782" max="782" width="15.7109375" customWidth="1"/>
    <col min="783" max="783" width="11.85546875" customWidth="1"/>
    <col min="1026" max="1026" width="3.5703125" customWidth="1"/>
    <col min="1027" max="1027" width="14.85546875" customWidth="1"/>
    <col min="1028" max="1028" width="14.5703125" customWidth="1"/>
    <col min="1029" max="1029" width="12.140625" customWidth="1"/>
    <col min="1030" max="1030" width="11.140625" customWidth="1"/>
    <col min="1031" max="1031" width="13.85546875" customWidth="1"/>
    <col min="1032" max="1032" width="12.7109375" customWidth="1"/>
    <col min="1033" max="1033" width="15.7109375" customWidth="1"/>
    <col min="1034" max="1034" width="15.140625" customWidth="1"/>
    <col min="1035" max="1035" width="14.28515625" customWidth="1"/>
    <col min="1036" max="1036" width="16.5703125" customWidth="1"/>
    <col min="1037" max="1037" width="13.7109375" customWidth="1"/>
    <col min="1038" max="1038" width="15.7109375" customWidth="1"/>
    <col min="1039" max="1039" width="11.85546875" customWidth="1"/>
    <col min="1282" max="1282" width="3.5703125" customWidth="1"/>
    <col min="1283" max="1283" width="14.85546875" customWidth="1"/>
    <col min="1284" max="1284" width="14.5703125" customWidth="1"/>
    <col min="1285" max="1285" width="12.140625" customWidth="1"/>
    <col min="1286" max="1286" width="11.140625" customWidth="1"/>
    <col min="1287" max="1287" width="13.85546875" customWidth="1"/>
    <col min="1288" max="1288" width="12.7109375" customWidth="1"/>
    <col min="1289" max="1289" width="15.7109375" customWidth="1"/>
    <col min="1290" max="1290" width="15.140625" customWidth="1"/>
    <col min="1291" max="1291" width="14.28515625" customWidth="1"/>
    <col min="1292" max="1292" width="16.5703125" customWidth="1"/>
    <col min="1293" max="1293" width="13.7109375" customWidth="1"/>
    <col min="1294" max="1294" width="15.7109375" customWidth="1"/>
    <col min="1295" max="1295" width="11.85546875" customWidth="1"/>
    <col min="1538" max="1538" width="3.5703125" customWidth="1"/>
    <col min="1539" max="1539" width="14.85546875" customWidth="1"/>
    <col min="1540" max="1540" width="14.5703125" customWidth="1"/>
    <col min="1541" max="1541" width="12.140625" customWidth="1"/>
    <col min="1542" max="1542" width="11.140625" customWidth="1"/>
    <col min="1543" max="1543" width="13.85546875" customWidth="1"/>
    <col min="1544" max="1544" width="12.7109375" customWidth="1"/>
    <col min="1545" max="1545" width="15.7109375" customWidth="1"/>
    <col min="1546" max="1546" width="15.140625" customWidth="1"/>
    <col min="1547" max="1547" width="14.28515625" customWidth="1"/>
    <col min="1548" max="1548" width="16.5703125" customWidth="1"/>
    <col min="1549" max="1549" width="13.7109375" customWidth="1"/>
    <col min="1550" max="1550" width="15.7109375" customWidth="1"/>
    <col min="1551" max="1551" width="11.85546875" customWidth="1"/>
    <col min="1794" max="1794" width="3.5703125" customWidth="1"/>
    <col min="1795" max="1795" width="14.85546875" customWidth="1"/>
    <col min="1796" max="1796" width="14.5703125" customWidth="1"/>
    <col min="1797" max="1797" width="12.140625" customWidth="1"/>
    <col min="1798" max="1798" width="11.140625" customWidth="1"/>
    <col min="1799" max="1799" width="13.85546875" customWidth="1"/>
    <col min="1800" max="1800" width="12.7109375" customWidth="1"/>
    <col min="1801" max="1801" width="15.7109375" customWidth="1"/>
    <col min="1802" max="1802" width="15.140625" customWidth="1"/>
    <col min="1803" max="1803" width="14.28515625" customWidth="1"/>
    <col min="1804" max="1804" width="16.5703125" customWidth="1"/>
    <col min="1805" max="1805" width="13.7109375" customWidth="1"/>
    <col min="1806" max="1806" width="15.7109375" customWidth="1"/>
    <col min="1807" max="1807" width="11.85546875" customWidth="1"/>
    <col min="2050" max="2050" width="3.5703125" customWidth="1"/>
    <col min="2051" max="2051" width="14.85546875" customWidth="1"/>
    <col min="2052" max="2052" width="14.5703125" customWidth="1"/>
    <col min="2053" max="2053" width="12.140625" customWidth="1"/>
    <col min="2054" max="2054" width="11.140625" customWidth="1"/>
    <col min="2055" max="2055" width="13.85546875" customWidth="1"/>
    <col min="2056" max="2056" width="12.7109375" customWidth="1"/>
    <col min="2057" max="2057" width="15.7109375" customWidth="1"/>
    <col min="2058" max="2058" width="15.140625" customWidth="1"/>
    <col min="2059" max="2059" width="14.28515625" customWidth="1"/>
    <col min="2060" max="2060" width="16.5703125" customWidth="1"/>
    <col min="2061" max="2061" width="13.7109375" customWidth="1"/>
    <col min="2062" max="2062" width="15.7109375" customWidth="1"/>
    <col min="2063" max="2063" width="11.85546875" customWidth="1"/>
    <col min="2306" max="2306" width="3.5703125" customWidth="1"/>
    <col min="2307" max="2307" width="14.85546875" customWidth="1"/>
    <col min="2308" max="2308" width="14.5703125" customWidth="1"/>
    <col min="2309" max="2309" width="12.140625" customWidth="1"/>
    <col min="2310" max="2310" width="11.140625" customWidth="1"/>
    <col min="2311" max="2311" width="13.85546875" customWidth="1"/>
    <col min="2312" max="2312" width="12.7109375" customWidth="1"/>
    <col min="2313" max="2313" width="15.7109375" customWidth="1"/>
    <col min="2314" max="2314" width="15.140625" customWidth="1"/>
    <col min="2315" max="2315" width="14.28515625" customWidth="1"/>
    <col min="2316" max="2316" width="16.5703125" customWidth="1"/>
    <col min="2317" max="2317" width="13.7109375" customWidth="1"/>
    <col min="2318" max="2318" width="15.7109375" customWidth="1"/>
    <col min="2319" max="2319" width="11.85546875" customWidth="1"/>
    <col min="2562" max="2562" width="3.5703125" customWidth="1"/>
    <col min="2563" max="2563" width="14.85546875" customWidth="1"/>
    <col min="2564" max="2564" width="14.5703125" customWidth="1"/>
    <col min="2565" max="2565" width="12.140625" customWidth="1"/>
    <col min="2566" max="2566" width="11.140625" customWidth="1"/>
    <col min="2567" max="2567" width="13.85546875" customWidth="1"/>
    <col min="2568" max="2568" width="12.7109375" customWidth="1"/>
    <col min="2569" max="2569" width="15.7109375" customWidth="1"/>
    <col min="2570" max="2570" width="15.140625" customWidth="1"/>
    <col min="2571" max="2571" width="14.28515625" customWidth="1"/>
    <col min="2572" max="2572" width="16.5703125" customWidth="1"/>
    <col min="2573" max="2573" width="13.7109375" customWidth="1"/>
    <col min="2574" max="2574" width="15.7109375" customWidth="1"/>
    <col min="2575" max="2575" width="11.85546875" customWidth="1"/>
    <col min="2818" max="2818" width="3.5703125" customWidth="1"/>
    <col min="2819" max="2819" width="14.85546875" customWidth="1"/>
    <col min="2820" max="2820" width="14.5703125" customWidth="1"/>
    <col min="2821" max="2821" width="12.140625" customWidth="1"/>
    <col min="2822" max="2822" width="11.140625" customWidth="1"/>
    <col min="2823" max="2823" width="13.85546875" customWidth="1"/>
    <col min="2824" max="2824" width="12.7109375" customWidth="1"/>
    <col min="2825" max="2825" width="15.7109375" customWidth="1"/>
    <col min="2826" max="2826" width="15.140625" customWidth="1"/>
    <col min="2827" max="2827" width="14.28515625" customWidth="1"/>
    <col min="2828" max="2828" width="16.5703125" customWidth="1"/>
    <col min="2829" max="2829" width="13.7109375" customWidth="1"/>
    <col min="2830" max="2830" width="15.7109375" customWidth="1"/>
    <col min="2831" max="2831" width="11.85546875" customWidth="1"/>
    <col min="3074" max="3074" width="3.5703125" customWidth="1"/>
    <col min="3075" max="3075" width="14.85546875" customWidth="1"/>
    <col min="3076" max="3076" width="14.5703125" customWidth="1"/>
    <col min="3077" max="3077" width="12.140625" customWidth="1"/>
    <col min="3078" max="3078" width="11.140625" customWidth="1"/>
    <col min="3079" max="3079" width="13.85546875" customWidth="1"/>
    <col min="3080" max="3080" width="12.7109375" customWidth="1"/>
    <col min="3081" max="3081" width="15.7109375" customWidth="1"/>
    <col min="3082" max="3082" width="15.140625" customWidth="1"/>
    <col min="3083" max="3083" width="14.28515625" customWidth="1"/>
    <col min="3084" max="3084" width="16.5703125" customWidth="1"/>
    <col min="3085" max="3085" width="13.7109375" customWidth="1"/>
    <col min="3086" max="3086" width="15.7109375" customWidth="1"/>
    <col min="3087" max="3087" width="11.85546875" customWidth="1"/>
    <col min="3330" max="3330" width="3.5703125" customWidth="1"/>
    <col min="3331" max="3331" width="14.85546875" customWidth="1"/>
    <col min="3332" max="3332" width="14.5703125" customWidth="1"/>
    <col min="3333" max="3333" width="12.140625" customWidth="1"/>
    <col min="3334" max="3334" width="11.140625" customWidth="1"/>
    <col min="3335" max="3335" width="13.85546875" customWidth="1"/>
    <col min="3336" max="3336" width="12.7109375" customWidth="1"/>
    <col min="3337" max="3337" width="15.7109375" customWidth="1"/>
    <col min="3338" max="3338" width="15.140625" customWidth="1"/>
    <col min="3339" max="3339" width="14.28515625" customWidth="1"/>
    <col min="3340" max="3340" width="16.5703125" customWidth="1"/>
    <col min="3341" max="3341" width="13.7109375" customWidth="1"/>
    <col min="3342" max="3342" width="15.7109375" customWidth="1"/>
    <col min="3343" max="3343" width="11.85546875" customWidth="1"/>
    <col min="3586" max="3586" width="3.5703125" customWidth="1"/>
    <col min="3587" max="3587" width="14.85546875" customWidth="1"/>
    <col min="3588" max="3588" width="14.5703125" customWidth="1"/>
    <col min="3589" max="3589" width="12.140625" customWidth="1"/>
    <col min="3590" max="3590" width="11.140625" customWidth="1"/>
    <col min="3591" max="3591" width="13.85546875" customWidth="1"/>
    <col min="3592" max="3592" width="12.7109375" customWidth="1"/>
    <col min="3593" max="3593" width="15.7109375" customWidth="1"/>
    <col min="3594" max="3594" width="15.140625" customWidth="1"/>
    <col min="3595" max="3595" width="14.28515625" customWidth="1"/>
    <col min="3596" max="3596" width="16.5703125" customWidth="1"/>
    <col min="3597" max="3597" width="13.7109375" customWidth="1"/>
    <col min="3598" max="3598" width="15.7109375" customWidth="1"/>
    <col min="3599" max="3599" width="11.85546875" customWidth="1"/>
    <col min="3842" max="3842" width="3.5703125" customWidth="1"/>
    <col min="3843" max="3843" width="14.85546875" customWidth="1"/>
    <col min="3844" max="3844" width="14.5703125" customWidth="1"/>
    <col min="3845" max="3845" width="12.140625" customWidth="1"/>
    <col min="3846" max="3846" width="11.140625" customWidth="1"/>
    <col min="3847" max="3847" width="13.85546875" customWidth="1"/>
    <col min="3848" max="3848" width="12.7109375" customWidth="1"/>
    <col min="3849" max="3849" width="15.7109375" customWidth="1"/>
    <col min="3850" max="3850" width="15.140625" customWidth="1"/>
    <col min="3851" max="3851" width="14.28515625" customWidth="1"/>
    <col min="3852" max="3852" width="16.5703125" customWidth="1"/>
    <col min="3853" max="3853" width="13.7109375" customWidth="1"/>
    <col min="3854" max="3854" width="15.7109375" customWidth="1"/>
    <col min="3855" max="3855" width="11.85546875" customWidth="1"/>
    <col min="4098" max="4098" width="3.5703125" customWidth="1"/>
    <col min="4099" max="4099" width="14.85546875" customWidth="1"/>
    <col min="4100" max="4100" width="14.5703125" customWidth="1"/>
    <col min="4101" max="4101" width="12.140625" customWidth="1"/>
    <col min="4102" max="4102" width="11.140625" customWidth="1"/>
    <col min="4103" max="4103" width="13.85546875" customWidth="1"/>
    <col min="4104" max="4104" width="12.7109375" customWidth="1"/>
    <col min="4105" max="4105" width="15.7109375" customWidth="1"/>
    <col min="4106" max="4106" width="15.140625" customWidth="1"/>
    <col min="4107" max="4107" width="14.28515625" customWidth="1"/>
    <col min="4108" max="4108" width="16.5703125" customWidth="1"/>
    <col min="4109" max="4109" width="13.7109375" customWidth="1"/>
    <col min="4110" max="4110" width="15.7109375" customWidth="1"/>
    <col min="4111" max="4111" width="11.85546875" customWidth="1"/>
    <col min="4354" max="4354" width="3.5703125" customWidth="1"/>
    <col min="4355" max="4355" width="14.85546875" customWidth="1"/>
    <col min="4356" max="4356" width="14.5703125" customWidth="1"/>
    <col min="4357" max="4357" width="12.140625" customWidth="1"/>
    <col min="4358" max="4358" width="11.140625" customWidth="1"/>
    <col min="4359" max="4359" width="13.85546875" customWidth="1"/>
    <col min="4360" max="4360" width="12.7109375" customWidth="1"/>
    <col min="4361" max="4361" width="15.7109375" customWidth="1"/>
    <col min="4362" max="4362" width="15.140625" customWidth="1"/>
    <col min="4363" max="4363" width="14.28515625" customWidth="1"/>
    <col min="4364" max="4364" width="16.5703125" customWidth="1"/>
    <col min="4365" max="4365" width="13.7109375" customWidth="1"/>
    <col min="4366" max="4366" width="15.7109375" customWidth="1"/>
    <col min="4367" max="4367" width="11.85546875" customWidth="1"/>
    <col min="4610" max="4610" width="3.5703125" customWidth="1"/>
    <col min="4611" max="4611" width="14.85546875" customWidth="1"/>
    <col min="4612" max="4612" width="14.5703125" customWidth="1"/>
    <col min="4613" max="4613" width="12.140625" customWidth="1"/>
    <col min="4614" max="4614" width="11.140625" customWidth="1"/>
    <col min="4615" max="4615" width="13.85546875" customWidth="1"/>
    <col min="4616" max="4616" width="12.7109375" customWidth="1"/>
    <col min="4617" max="4617" width="15.7109375" customWidth="1"/>
    <col min="4618" max="4618" width="15.140625" customWidth="1"/>
    <col min="4619" max="4619" width="14.28515625" customWidth="1"/>
    <col min="4620" max="4620" width="16.5703125" customWidth="1"/>
    <col min="4621" max="4621" width="13.7109375" customWidth="1"/>
    <col min="4622" max="4622" width="15.7109375" customWidth="1"/>
    <col min="4623" max="4623" width="11.85546875" customWidth="1"/>
    <col min="4866" max="4866" width="3.5703125" customWidth="1"/>
    <col min="4867" max="4867" width="14.85546875" customWidth="1"/>
    <col min="4868" max="4868" width="14.5703125" customWidth="1"/>
    <col min="4869" max="4869" width="12.140625" customWidth="1"/>
    <col min="4870" max="4870" width="11.140625" customWidth="1"/>
    <col min="4871" max="4871" width="13.85546875" customWidth="1"/>
    <col min="4872" max="4872" width="12.7109375" customWidth="1"/>
    <col min="4873" max="4873" width="15.7109375" customWidth="1"/>
    <col min="4874" max="4874" width="15.140625" customWidth="1"/>
    <col min="4875" max="4875" width="14.28515625" customWidth="1"/>
    <col min="4876" max="4876" width="16.5703125" customWidth="1"/>
    <col min="4877" max="4877" width="13.7109375" customWidth="1"/>
    <col min="4878" max="4878" width="15.7109375" customWidth="1"/>
    <col min="4879" max="4879" width="11.85546875" customWidth="1"/>
    <col min="5122" max="5122" width="3.5703125" customWidth="1"/>
    <col min="5123" max="5123" width="14.85546875" customWidth="1"/>
    <col min="5124" max="5124" width="14.5703125" customWidth="1"/>
    <col min="5125" max="5125" width="12.140625" customWidth="1"/>
    <col min="5126" max="5126" width="11.140625" customWidth="1"/>
    <col min="5127" max="5127" width="13.85546875" customWidth="1"/>
    <col min="5128" max="5128" width="12.7109375" customWidth="1"/>
    <col min="5129" max="5129" width="15.7109375" customWidth="1"/>
    <col min="5130" max="5130" width="15.140625" customWidth="1"/>
    <col min="5131" max="5131" width="14.28515625" customWidth="1"/>
    <col min="5132" max="5132" width="16.5703125" customWidth="1"/>
    <col min="5133" max="5133" width="13.7109375" customWidth="1"/>
    <col min="5134" max="5134" width="15.7109375" customWidth="1"/>
    <col min="5135" max="5135" width="11.85546875" customWidth="1"/>
    <col min="5378" max="5378" width="3.5703125" customWidth="1"/>
    <col min="5379" max="5379" width="14.85546875" customWidth="1"/>
    <col min="5380" max="5380" width="14.5703125" customWidth="1"/>
    <col min="5381" max="5381" width="12.140625" customWidth="1"/>
    <col min="5382" max="5382" width="11.140625" customWidth="1"/>
    <col min="5383" max="5383" width="13.85546875" customWidth="1"/>
    <col min="5384" max="5384" width="12.7109375" customWidth="1"/>
    <col min="5385" max="5385" width="15.7109375" customWidth="1"/>
    <col min="5386" max="5386" width="15.140625" customWidth="1"/>
    <col min="5387" max="5387" width="14.28515625" customWidth="1"/>
    <col min="5388" max="5388" width="16.5703125" customWidth="1"/>
    <col min="5389" max="5389" width="13.7109375" customWidth="1"/>
    <col min="5390" max="5390" width="15.7109375" customWidth="1"/>
    <col min="5391" max="5391" width="11.85546875" customWidth="1"/>
    <col min="5634" max="5634" width="3.5703125" customWidth="1"/>
    <col min="5635" max="5635" width="14.85546875" customWidth="1"/>
    <col min="5636" max="5636" width="14.5703125" customWidth="1"/>
    <col min="5637" max="5637" width="12.140625" customWidth="1"/>
    <col min="5638" max="5638" width="11.140625" customWidth="1"/>
    <col min="5639" max="5639" width="13.85546875" customWidth="1"/>
    <col min="5640" max="5640" width="12.7109375" customWidth="1"/>
    <col min="5641" max="5641" width="15.7109375" customWidth="1"/>
    <col min="5642" max="5642" width="15.140625" customWidth="1"/>
    <col min="5643" max="5643" width="14.28515625" customWidth="1"/>
    <col min="5644" max="5644" width="16.5703125" customWidth="1"/>
    <col min="5645" max="5645" width="13.7109375" customWidth="1"/>
    <col min="5646" max="5646" width="15.7109375" customWidth="1"/>
    <col min="5647" max="5647" width="11.85546875" customWidth="1"/>
    <col min="5890" max="5890" width="3.5703125" customWidth="1"/>
    <col min="5891" max="5891" width="14.85546875" customWidth="1"/>
    <col min="5892" max="5892" width="14.5703125" customWidth="1"/>
    <col min="5893" max="5893" width="12.140625" customWidth="1"/>
    <col min="5894" max="5894" width="11.140625" customWidth="1"/>
    <col min="5895" max="5895" width="13.85546875" customWidth="1"/>
    <col min="5896" max="5896" width="12.7109375" customWidth="1"/>
    <col min="5897" max="5897" width="15.7109375" customWidth="1"/>
    <col min="5898" max="5898" width="15.140625" customWidth="1"/>
    <col min="5899" max="5899" width="14.28515625" customWidth="1"/>
    <col min="5900" max="5900" width="16.5703125" customWidth="1"/>
    <col min="5901" max="5901" width="13.7109375" customWidth="1"/>
    <col min="5902" max="5902" width="15.7109375" customWidth="1"/>
    <col min="5903" max="5903" width="11.85546875" customWidth="1"/>
    <col min="6146" max="6146" width="3.5703125" customWidth="1"/>
    <col min="6147" max="6147" width="14.85546875" customWidth="1"/>
    <col min="6148" max="6148" width="14.5703125" customWidth="1"/>
    <col min="6149" max="6149" width="12.140625" customWidth="1"/>
    <col min="6150" max="6150" width="11.140625" customWidth="1"/>
    <col min="6151" max="6151" width="13.85546875" customWidth="1"/>
    <col min="6152" max="6152" width="12.7109375" customWidth="1"/>
    <col min="6153" max="6153" width="15.7109375" customWidth="1"/>
    <col min="6154" max="6154" width="15.140625" customWidth="1"/>
    <col min="6155" max="6155" width="14.28515625" customWidth="1"/>
    <col min="6156" max="6156" width="16.5703125" customWidth="1"/>
    <col min="6157" max="6157" width="13.7109375" customWidth="1"/>
    <col min="6158" max="6158" width="15.7109375" customWidth="1"/>
    <col min="6159" max="6159" width="11.85546875" customWidth="1"/>
    <col min="6402" max="6402" width="3.5703125" customWidth="1"/>
    <col min="6403" max="6403" width="14.85546875" customWidth="1"/>
    <col min="6404" max="6404" width="14.5703125" customWidth="1"/>
    <col min="6405" max="6405" width="12.140625" customWidth="1"/>
    <col min="6406" max="6406" width="11.140625" customWidth="1"/>
    <col min="6407" max="6407" width="13.85546875" customWidth="1"/>
    <col min="6408" max="6408" width="12.7109375" customWidth="1"/>
    <col min="6409" max="6409" width="15.7109375" customWidth="1"/>
    <col min="6410" max="6410" width="15.140625" customWidth="1"/>
    <col min="6411" max="6411" width="14.28515625" customWidth="1"/>
    <col min="6412" max="6412" width="16.5703125" customWidth="1"/>
    <col min="6413" max="6413" width="13.7109375" customWidth="1"/>
    <col min="6414" max="6414" width="15.7109375" customWidth="1"/>
    <col min="6415" max="6415" width="11.85546875" customWidth="1"/>
    <col min="6658" max="6658" width="3.5703125" customWidth="1"/>
    <col min="6659" max="6659" width="14.85546875" customWidth="1"/>
    <col min="6660" max="6660" width="14.5703125" customWidth="1"/>
    <col min="6661" max="6661" width="12.140625" customWidth="1"/>
    <col min="6662" max="6662" width="11.140625" customWidth="1"/>
    <col min="6663" max="6663" width="13.85546875" customWidth="1"/>
    <col min="6664" max="6664" width="12.7109375" customWidth="1"/>
    <col min="6665" max="6665" width="15.7109375" customWidth="1"/>
    <col min="6666" max="6666" width="15.140625" customWidth="1"/>
    <col min="6667" max="6667" width="14.28515625" customWidth="1"/>
    <col min="6668" max="6668" width="16.5703125" customWidth="1"/>
    <col min="6669" max="6669" width="13.7109375" customWidth="1"/>
    <col min="6670" max="6670" width="15.7109375" customWidth="1"/>
    <col min="6671" max="6671" width="11.85546875" customWidth="1"/>
    <col min="6914" max="6914" width="3.5703125" customWidth="1"/>
    <col min="6915" max="6915" width="14.85546875" customWidth="1"/>
    <col min="6916" max="6916" width="14.5703125" customWidth="1"/>
    <col min="6917" max="6917" width="12.140625" customWidth="1"/>
    <col min="6918" max="6918" width="11.140625" customWidth="1"/>
    <col min="6919" max="6919" width="13.85546875" customWidth="1"/>
    <col min="6920" max="6920" width="12.7109375" customWidth="1"/>
    <col min="6921" max="6921" width="15.7109375" customWidth="1"/>
    <col min="6922" max="6922" width="15.140625" customWidth="1"/>
    <col min="6923" max="6923" width="14.28515625" customWidth="1"/>
    <col min="6924" max="6924" width="16.5703125" customWidth="1"/>
    <col min="6925" max="6925" width="13.7109375" customWidth="1"/>
    <col min="6926" max="6926" width="15.7109375" customWidth="1"/>
    <col min="6927" max="6927" width="11.85546875" customWidth="1"/>
    <col min="7170" max="7170" width="3.5703125" customWidth="1"/>
    <col min="7171" max="7171" width="14.85546875" customWidth="1"/>
    <col min="7172" max="7172" width="14.5703125" customWidth="1"/>
    <col min="7173" max="7173" width="12.140625" customWidth="1"/>
    <col min="7174" max="7174" width="11.140625" customWidth="1"/>
    <col min="7175" max="7175" width="13.85546875" customWidth="1"/>
    <col min="7176" max="7176" width="12.7109375" customWidth="1"/>
    <col min="7177" max="7177" width="15.7109375" customWidth="1"/>
    <col min="7178" max="7178" width="15.140625" customWidth="1"/>
    <col min="7179" max="7179" width="14.28515625" customWidth="1"/>
    <col min="7180" max="7180" width="16.5703125" customWidth="1"/>
    <col min="7181" max="7181" width="13.7109375" customWidth="1"/>
    <col min="7182" max="7182" width="15.7109375" customWidth="1"/>
    <col min="7183" max="7183" width="11.85546875" customWidth="1"/>
    <col min="7426" max="7426" width="3.5703125" customWidth="1"/>
    <col min="7427" max="7427" width="14.85546875" customWidth="1"/>
    <col min="7428" max="7428" width="14.5703125" customWidth="1"/>
    <col min="7429" max="7429" width="12.140625" customWidth="1"/>
    <col min="7430" max="7430" width="11.140625" customWidth="1"/>
    <col min="7431" max="7431" width="13.85546875" customWidth="1"/>
    <col min="7432" max="7432" width="12.7109375" customWidth="1"/>
    <col min="7433" max="7433" width="15.7109375" customWidth="1"/>
    <col min="7434" max="7434" width="15.140625" customWidth="1"/>
    <col min="7435" max="7435" width="14.28515625" customWidth="1"/>
    <col min="7436" max="7436" width="16.5703125" customWidth="1"/>
    <col min="7437" max="7437" width="13.7109375" customWidth="1"/>
    <col min="7438" max="7438" width="15.7109375" customWidth="1"/>
    <col min="7439" max="7439" width="11.85546875" customWidth="1"/>
    <col min="7682" max="7682" width="3.5703125" customWidth="1"/>
    <col min="7683" max="7683" width="14.85546875" customWidth="1"/>
    <col min="7684" max="7684" width="14.5703125" customWidth="1"/>
    <col min="7685" max="7685" width="12.140625" customWidth="1"/>
    <col min="7686" max="7686" width="11.140625" customWidth="1"/>
    <col min="7687" max="7687" width="13.85546875" customWidth="1"/>
    <col min="7688" max="7688" width="12.7109375" customWidth="1"/>
    <col min="7689" max="7689" width="15.7109375" customWidth="1"/>
    <col min="7690" max="7690" width="15.140625" customWidth="1"/>
    <col min="7691" max="7691" width="14.28515625" customWidth="1"/>
    <col min="7692" max="7692" width="16.5703125" customWidth="1"/>
    <col min="7693" max="7693" width="13.7109375" customWidth="1"/>
    <col min="7694" max="7694" width="15.7109375" customWidth="1"/>
    <col min="7695" max="7695" width="11.85546875" customWidth="1"/>
    <col min="7938" max="7938" width="3.5703125" customWidth="1"/>
    <col min="7939" max="7939" width="14.85546875" customWidth="1"/>
    <col min="7940" max="7940" width="14.5703125" customWidth="1"/>
    <col min="7941" max="7941" width="12.140625" customWidth="1"/>
    <col min="7942" max="7942" width="11.140625" customWidth="1"/>
    <col min="7943" max="7943" width="13.85546875" customWidth="1"/>
    <col min="7944" max="7944" width="12.7109375" customWidth="1"/>
    <col min="7945" max="7945" width="15.7109375" customWidth="1"/>
    <col min="7946" max="7946" width="15.140625" customWidth="1"/>
    <col min="7947" max="7947" width="14.28515625" customWidth="1"/>
    <col min="7948" max="7948" width="16.5703125" customWidth="1"/>
    <col min="7949" max="7949" width="13.7109375" customWidth="1"/>
    <col min="7950" max="7950" width="15.7109375" customWidth="1"/>
    <col min="7951" max="7951" width="11.85546875" customWidth="1"/>
    <col min="8194" max="8194" width="3.5703125" customWidth="1"/>
    <col min="8195" max="8195" width="14.85546875" customWidth="1"/>
    <col min="8196" max="8196" width="14.5703125" customWidth="1"/>
    <col min="8197" max="8197" width="12.140625" customWidth="1"/>
    <col min="8198" max="8198" width="11.140625" customWidth="1"/>
    <col min="8199" max="8199" width="13.85546875" customWidth="1"/>
    <col min="8200" max="8200" width="12.7109375" customWidth="1"/>
    <col min="8201" max="8201" width="15.7109375" customWidth="1"/>
    <col min="8202" max="8202" width="15.140625" customWidth="1"/>
    <col min="8203" max="8203" width="14.28515625" customWidth="1"/>
    <col min="8204" max="8204" width="16.5703125" customWidth="1"/>
    <col min="8205" max="8205" width="13.7109375" customWidth="1"/>
    <col min="8206" max="8206" width="15.7109375" customWidth="1"/>
    <col min="8207" max="8207" width="11.85546875" customWidth="1"/>
    <col min="8450" max="8450" width="3.5703125" customWidth="1"/>
    <col min="8451" max="8451" width="14.85546875" customWidth="1"/>
    <col min="8452" max="8452" width="14.5703125" customWidth="1"/>
    <col min="8453" max="8453" width="12.140625" customWidth="1"/>
    <col min="8454" max="8454" width="11.140625" customWidth="1"/>
    <col min="8455" max="8455" width="13.85546875" customWidth="1"/>
    <col min="8456" max="8456" width="12.7109375" customWidth="1"/>
    <col min="8457" max="8457" width="15.7109375" customWidth="1"/>
    <col min="8458" max="8458" width="15.140625" customWidth="1"/>
    <col min="8459" max="8459" width="14.28515625" customWidth="1"/>
    <col min="8460" max="8460" width="16.5703125" customWidth="1"/>
    <col min="8461" max="8461" width="13.7109375" customWidth="1"/>
    <col min="8462" max="8462" width="15.7109375" customWidth="1"/>
    <col min="8463" max="8463" width="11.85546875" customWidth="1"/>
    <col min="8706" max="8706" width="3.5703125" customWidth="1"/>
    <col min="8707" max="8707" width="14.85546875" customWidth="1"/>
    <col min="8708" max="8708" width="14.5703125" customWidth="1"/>
    <col min="8709" max="8709" width="12.140625" customWidth="1"/>
    <col min="8710" max="8710" width="11.140625" customWidth="1"/>
    <col min="8711" max="8711" width="13.85546875" customWidth="1"/>
    <col min="8712" max="8712" width="12.7109375" customWidth="1"/>
    <col min="8713" max="8713" width="15.7109375" customWidth="1"/>
    <col min="8714" max="8714" width="15.140625" customWidth="1"/>
    <col min="8715" max="8715" width="14.28515625" customWidth="1"/>
    <col min="8716" max="8716" width="16.5703125" customWidth="1"/>
    <col min="8717" max="8717" width="13.7109375" customWidth="1"/>
    <col min="8718" max="8718" width="15.7109375" customWidth="1"/>
    <col min="8719" max="8719" width="11.85546875" customWidth="1"/>
    <col min="8962" max="8962" width="3.5703125" customWidth="1"/>
    <col min="8963" max="8963" width="14.85546875" customWidth="1"/>
    <col min="8964" max="8964" width="14.5703125" customWidth="1"/>
    <col min="8965" max="8965" width="12.140625" customWidth="1"/>
    <col min="8966" max="8966" width="11.140625" customWidth="1"/>
    <col min="8967" max="8967" width="13.85546875" customWidth="1"/>
    <col min="8968" max="8968" width="12.7109375" customWidth="1"/>
    <col min="8969" max="8969" width="15.7109375" customWidth="1"/>
    <col min="8970" max="8970" width="15.140625" customWidth="1"/>
    <col min="8971" max="8971" width="14.28515625" customWidth="1"/>
    <col min="8972" max="8972" width="16.5703125" customWidth="1"/>
    <col min="8973" max="8973" width="13.7109375" customWidth="1"/>
    <col min="8974" max="8974" width="15.7109375" customWidth="1"/>
    <col min="8975" max="8975" width="11.85546875" customWidth="1"/>
    <col min="9218" max="9218" width="3.5703125" customWidth="1"/>
    <col min="9219" max="9219" width="14.85546875" customWidth="1"/>
    <col min="9220" max="9220" width="14.5703125" customWidth="1"/>
    <col min="9221" max="9221" width="12.140625" customWidth="1"/>
    <col min="9222" max="9222" width="11.140625" customWidth="1"/>
    <col min="9223" max="9223" width="13.85546875" customWidth="1"/>
    <col min="9224" max="9224" width="12.7109375" customWidth="1"/>
    <col min="9225" max="9225" width="15.7109375" customWidth="1"/>
    <col min="9226" max="9226" width="15.140625" customWidth="1"/>
    <col min="9227" max="9227" width="14.28515625" customWidth="1"/>
    <col min="9228" max="9228" width="16.5703125" customWidth="1"/>
    <col min="9229" max="9229" width="13.7109375" customWidth="1"/>
    <col min="9230" max="9230" width="15.7109375" customWidth="1"/>
    <col min="9231" max="9231" width="11.85546875" customWidth="1"/>
    <col min="9474" max="9474" width="3.5703125" customWidth="1"/>
    <col min="9475" max="9475" width="14.85546875" customWidth="1"/>
    <col min="9476" max="9476" width="14.5703125" customWidth="1"/>
    <col min="9477" max="9477" width="12.140625" customWidth="1"/>
    <col min="9478" max="9478" width="11.140625" customWidth="1"/>
    <col min="9479" max="9479" width="13.85546875" customWidth="1"/>
    <col min="9480" max="9480" width="12.7109375" customWidth="1"/>
    <col min="9481" max="9481" width="15.7109375" customWidth="1"/>
    <col min="9482" max="9482" width="15.140625" customWidth="1"/>
    <col min="9483" max="9483" width="14.28515625" customWidth="1"/>
    <col min="9484" max="9484" width="16.5703125" customWidth="1"/>
    <col min="9485" max="9485" width="13.7109375" customWidth="1"/>
    <col min="9486" max="9486" width="15.7109375" customWidth="1"/>
    <col min="9487" max="9487" width="11.85546875" customWidth="1"/>
    <col min="9730" max="9730" width="3.5703125" customWidth="1"/>
    <col min="9731" max="9731" width="14.85546875" customWidth="1"/>
    <col min="9732" max="9732" width="14.5703125" customWidth="1"/>
    <col min="9733" max="9733" width="12.140625" customWidth="1"/>
    <col min="9734" max="9734" width="11.140625" customWidth="1"/>
    <col min="9735" max="9735" width="13.85546875" customWidth="1"/>
    <col min="9736" max="9736" width="12.7109375" customWidth="1"/>
    <col min="9737" max="9737" width="15.7109375" customWidth="1"/>
    <col min="9738" max="9738" width="15.140625" customWidth="1"/>
    <col min="9739" max="9739" width="14.28515625" customWidth="1"/>
    <col min="9740" max="9740" width="16.5703125" customWidth="1"/>
    <col min="9741" max="9741" width="13.7109375" customWidth="1"/>
    <col min="9742" max="9742" width="15.7109375" customWidth="1"/>
    <col min="9743" max="9743" width="11.85546875" customWidth="1"/>
    <col min="9986" max="9986" width="3.5703125" customWidth="1"/>
    <col min="9987" max="9987" width="14.85546875" customWidth="1"/>
    <col min="9988" max="9988" width="14.5703125" customWidth="1"/>
    <col min="9989" max="9989" width="12.140625" customWidth="1"/>
    <col min="9990" max="9990" width="11.140625" customWidth="1"/>
    <col min="9991" max="9991" width="13.85546875" customWidth="1"/>
    <col min="9992" max="9992" width="12.7109375" customWidth="1"/>
    <col min="9993" max="9993" width="15.7109375" customWidth="1"/>
    <col min="9994" max="9994" width="15.140625" customWidth="1"/>
    <col min="9995" max="9995" width="14.28515625" customWidth="1"/>
    <col min="9996" max="9996" width="16.5703125" customWidth="1"/>
    <col min="9997" max="9997" width="13.7109375" customWidth="1"/>
    <col min="9998" max="9998" width="15.7109375" customWidth="1"/>
    <col min="9999" max="9999" width="11.85546875" customWidth="1"/>
    <col min="10242" max="10242" width="3.5703125" customWidth="1"/>
    <col min="10243" max="10243" width="14.85546875" customWidth="1"/>
    <col min="10244" max="10244" width="14.5703125" customWidth="1"/>
    <col min="10245" max="10245" width="12.140625" customWidth="1"/>
    <col min="10246" max="10246" width="11.140625" customWidth="1"/>
    <col min="10247" max="10247" width="13.85546875" customWidth="1"/>
    <col min="10248" max="10248" width="12.7109375" customWidth="1"/>
    <col min="10249" max="10249" width="15.7109375" customWidth="1"/>
    <col min="10250" max="10250" width="15.140625" customWidth="1"/>
    <col min="10251" max="10251" width="14.28515625" customWidth="1"/>
    <col min="10252" max="10252" width="16.5703125" customWidth="1"/>
    <col min="10253" max="10253" width="13.7109375" customWidth="1"/>
    <col min="10254" max="10254" width="15.7109375" customWidth="1"/>
    <col min="10255" max="10255" width="11.85546875" customWidth="1"/>
    <col min="10498" max="10498" width="3.5703125" customWidth="1"/>
    <col min="10499" max="10499" width="14.85546875" customWidth="1"/>
    <col min="10500" max="10500" width="14.5703125" customWidth="1"/>
    <col min="10501" max="10501" width="12.140625" customWidth="1"/>
    <col min="10502" max="10502" width="11.140625" customWidth="1"/>
    <col min="10503" max="10503" width="13.85546875" customWidth="1"/>
    <col min="10504" max="10504" width="12.7109375" customWidth="1"/>
    <col min="10505" max="10505" width="15.7109375" customWidth="1"/>
    <col min="10506" max="10506" width="15.140625" customWidth="1"/>
    <col min="10507" max="10507" width="14.28515625" customWidth="1"/>
    <col min="10508" max="10508" width="16.5703125" customWidth="1"/>
    <col min="10509" max="10509" width="13.7109375" customWidth="1"/>
    <col min="10510" max="10510" width="15.7109375" customWidth="1"/>
    <col min="10511" max="10511" width="11.85546875" customWidth="1"/>
    <col min="10754" max="10754" width="3.5703125" customWidth="1"/>
    <col min="10755" max="10755" width="14.85546875" customWidth="1"/>
    <col min="10756" max="10756" width="14.5703125" customWidth="1"/>
    <col min="10757" max="10757" width="12.140625" customWidth="1"/>
    <col min="10758" max="10758" width="11.140625" customWidth="1"/>
    <col min="10759" max="10759" width="13.85546875" customWidth="1"/>
    <col min="10760" max="10760" width="12.7109375" customWidth="1"/>
    <col min="10761" max="10761" width="15.7109375" customWidth="1"/>
    <col min="10762" max="10762" width="15.140625" customWidth="1"/>
    <col min="10763" max="10763" width="14.28515625" customWidth="1"/>
    <col min="10764" max="10764" width="16.5703125" customWidth="1"/>
    <col min="10765" max="10765" width="13.7109375" customWidth="1"/>
    <col min="10766" max="10766" width="15.7109375" customWidth="1"/>
    <col min="10767" max="10767" width="11.85546875" customWidth="1"/>
    <col min="11010" max="11010" width="3.5703125" customWidth="1"/>
    <col min="11011" max="11011" width="14.85546875" customWidth="1"/>
    <col min="11012" max="11012" width="14.5703125" customWidth="1"/>
    <col min="11013" max="11013" width="12.140625" customWidth="1"/>
    <col min="11014" max="11014" width="11.140625" customWidth="1"/>
    <col min="11015" max="11015" width="13.85546875" customWidth="1"/>
    <col min="11016" max="11016" width="12.7109375" customWidth="1"/>
    <col min="11017" max="11017" width="15.7109375" customWidth="1"/>
    <col min="11018" max="11018" width="15.140625" customWidth="1"/>
    <col min="11019" max="11019" width="14.28515625" customWidth="1"/>
    <col min="11020" max="11020" width="16.5703125" customWidth="1"/>
    <col min="11021" max="11021" width="13.7109375" customWidth="1"/>
    <col min="11022" max="11022" width="15.7109375" customWidth="1"/>
    <col min="11023" max="11023" width="11.85546875" customWidth="1"/>
    <col min="11266" max="11266" width="3.5703125" customWidth="1"/>
    <col min="11267" max="11267" width="14.85546875" customWidth="1"/>
    <col min="11268" max="11268" width="14.5703125" customWidth="1"/>
    <col min="11269" max="11269" width="12.140625" customWidth="1"/>
    <col min="11270" max="11270" width="11.140625" customWidth="1"/>
    <col min="11271" max="11271" width="13.85546875" customWidth="1"/>
    <col min="11272" max="11272" width="12.7109375" customWidth="1"/>
    <col min="11273" max="11273" width="15.7109375" customWidth="1"/>
    <col min="11274" max="11274" width="15.140625" customWidth="1"/>
    <col min="11275" max="11275" width="14.28515625" customWidth="1"/>
    <col min="11276" max="11276" width="16.5703125" customWidth="1"/>
    <col min="11277" max="11277" width="13.7109375" customWidth="1"/>
    <col min="11278" max="11278" width="15.7109375" customWidth="1"/>
    <col min="11279" max="11279" width="11.85546875" customWidth="1"/>
    <col min="11522" max="11522" width="3.5703125" customWidth="1"/>
    <col min="11523" max="11523" width="14.85546875" customWidth="1"/>
    <col min="11524" max="11524" width="14.5703125" customWidth="1"/>
    <col min="11525" max="11525" width="12.140625" customWidth="1"/>
    <col min="11526" max="11526" width="11.140625" customWidth="1"/>
    <col min="11527" max="11527" width="13.85546875" customWidth="1"/>
    <col min="11528" max="11528" width="12.7109375" customWidth="1"/>
    <col min="11529" max="11529" width="15.7109375" customWidth="1"/>
    <col min="11530" max="11530" width="15.140625" customWidth="1"/>
    <col min="11531" max="11531" width="14.28515625" customWidth="1"/>
    <col min="11532" max="11532" width="16.5703125" customWidth="1"/>
    <col min="11533" max="11533" width="13.7109375" customWidth="1"/>
    <col min="11534" max="11534" width="15.7109375" customWidth="1"/>
    <col min="11535" max="11535" width="11.85546875" customWidth="1"/>
    <col min="11778" max="11778" width="3.5703125" customWidth="1"/>
    <col min="11779" max="11779" width="14.85546875" customWidth="1"/>
    <col min="11780" max="11780" width="14.5703125" customWidth="1"/>
    <col min="11781" max="11781" width="12.140625" customWidth="1"/>
    <col min="11782" max="11782" width="11.140625" customWidth="1"/>
    <col min="11783" max="11783" width="13.85546875" customWidth="1"/>
    <col min="11784" max="11784" width="12.7109375" customWidth="1"/>
    <col min="11785" max="11785" width="15.7109375" customWidth="1"/>
    <col min="11786" max="11786" width="15.140625" customWidth="1"/>
    <col min="11787" max="11787" width="14.28515625" customWidth="1"/>
    <col min="11788" max="11788" width="16.5703125" customWidth="1"/>
    <col min="11789" max="11789" width="13.7109375" customWidth="1"/>
    <col min="11790" max="11790" width="15.7109375" customWidth="1"/>
    <col min="11791" max="11791" width="11.85546875" customWidth="1"/>
    <col min="12034" max="12034" width="3.5703125" customWidth="1"/>
    <col min="12035" max="12035" width="14.85546875" customWidth="1"/>
    <col min="12036" max="12036" width="14.5703125" customWidth="1"/>
    <col min="12037" max="12037" width="12.140625" customWidth="1"/>
    <col min="12038" max="12038" width="11.140625" customWidth="1"/>
    <col min="12039" max="12039" width="13.85546875" customWidth="1"/>
    <col min="12040" max="12040" width="12.7109375" customWidth="1"/>
    <col min="12041" max="12041" width="15.7109375" customWidth="1"/>
    <col min="12042" max="12042" width="15.140625" customWidth="1"/>
    <col min="12043" max="12043" width="14.28515625" customWidth="1"/>
    <col min="12044" max="12044" width="16.5703125" customWidth="1"/>
    <col min="12045" max="12045" width="13.7109375" customWidth="1"/>
    <col min="12046" max="12046" width="15.7109375" customWidth="1"/>
    <col min="12047" max="12047" width="11.85546875" customWidth="1"/>
    <col min="12290" max="12290" width="3.5703125" customWidth="1"/>
    <col min="12291" max="12291" width="14.85546875" customWidth="1"/>
    <col min="12292" max="12292" width="14.5703125" customWidth="1"/>
    <col min="12293" max="12293" width="12.140625" customWidth="1"/>
    <col min="12294" max="12294" width="11.140625" customWidth="1"/>
    <col min="12295" max="12295" width="13.85546875" customWidth="1"/>
    <col min="12296" max="12296" width="12.7109375" customWidth="1"/>
    <col min="12297" max="12297" width="15.7109375" customWidth="1"/>
    <col min="12298" max="12298" width="15.140625" customWidth="1"/>
    <col min="12299" max="12299" width="14.28515625" customWidth="1"/>
    <col min="12300" max="12300" width="16.5703125" customWidth="1"/>
    <col min="12301" max="12301" width="13.7109375" customWidth="1"/>
    <col min="12302" max="12302" width="15.7109375" customWidth="1"/>
    <col min="12303" max="12303" width="11.85546875" customWidth="1"/>
    <col min="12546" max="12546" width="3.5703125" customWidth="1"/>
    <col min="12547" max="12547" width="14.85546875" customWidth="1"/>
    <col min="12548" max="12548" width="14.5703125" customWidth="1"/>
    <col min="12549" max="12549" width="12.140625" customWidth="1"/>
    <col min="12550" max="12550" width="11.140625" customWidth="1"/>
    <col min="12551" max="12551" width="13.85546875" customWidth="1"/>
    <col min="12552" max="12552" width="12.7109375" customWidth="1"/>
    <col min="12553" max="12553" width="15.7109375" customWidth="1"/>
    <col min="12554" max="12554" width="15.140625" customWidth="1"/>
    <col min="12555" max="12555" width="14.28515625" customWidth="1"/>
    <col min="12556" max="12556" width="16.5703125" customWidth="1"/>
    <col min="12557" max="12557" width="13.7109375" customWidth="1"/>
    <col min="12558" max="12558" width="15.7109375" customWidth="1"/>
    <col min="12559" max="12559" width="11.85546875" customWidth="1"/>
    <col min="12802" max="12802" width="3.5703125" customWidth="1"/>
    <col min="12803" max="12803" width="14.85546875" customWidth="1"/>
    <col min="12804" max="12804" width="14.5703125" customWidth="1"/>
    <col min="12805" max="12805" width="12.140625" customWidth="1"/>
    <col min="12806" max="12806" width="11.140625" customWidth="1"/>
    <col min="12807" max="12807" width="13.85546875" customWidth="1"/>
    <col min="12808" max="12808" width="12.7109375" customWidth="1"/>
    <col min="12809" max="12809" width="15.7109375" customWidth="1"/>
    <col min="12810" max="12810" width="15.140625" customWidth="1"/>
    <col min="12811" max="12811" width="14.28515625" customWidth="1"/>
    <col min="12812" max="12812" width="16.5703125" customWidth="1"/>
    <col min="12813" max="12813" width="13.7109375" customWidth="1"/>
    <col min="12814" max="12814" width="15.7109375" customWidth="1"/>
    <col min="12815" max="12815" width="11.85546875" customWidth="1"/>
    <col min="13058" max="13058" width="3.5703125" customWidth="1"/>
    <col min="13059" max="13059" width="14.85546875" customWidth="1"/>
    <col min="13060" max="13060" width="14.5703125" customWidth="1"/>
    <col min="13061" max="13061" width="12.140625" customWidth="1"/>
    <col min="13062" max="13062" width="11.140625" customWidth="1"/>
    <col min="13063" max="13063" width="13.85546875" customWidth="1"/>
    <col min="13064" max="13064" width="12.7109375" customWidth="1"/>
    <col min="13065" max="13065" width="15.7109375" customWidth="1"/>
    <col min="13066" max="13066" width="15.140625" customWidth="1"/>
    <col min="13067" max="13067" width="14.28515625" customWidth="1"/>
    <col min="13068" max="13068" width="16.5703125" customWidth="1"/>
    <col min="13069" max="13069" width="13.7109375" customWidth="1"/>
    <col min="13070" max="13070" width="15.7109375" customWidth="1"/>
    <col min="13071" max="13071" width="11.85546875" customWidth="1"/>
    <col min="13314" max="13314" width="3.5703125" customWidth="1"/>
    <col min="13315" max="13315" width="14.85546875" customWidth="1"/>
    <col min="13316" max="13316" width="14.5703125" customWidth="1"/>
    <col min="13317" max="13317" width="12.140625" customWidth="1"/>
    <col min="13318" max="13318" width="11.140625" customWidth="1"/>
    <col min="13319" max="13319" width="13.85546875" customWidth="1"/>
    <col min="13320" max="13320" width="12.7109375" customWidth="1"/>
    <col min="13321" max="13321" width="15.7109375" customWidth="1"/>
    <col min="13322" max="13322" width="15.140625" customWidth="1"/>
    <col min="13323" max="13323" width="14.28515625" customWidth="1"/>
    <col min="13324" max="13324" width="16.5703125" customWidth="1"/>
    <col min="13325" max="13325" width="13.7109375" customWidth="1"/>
    <col min="13326" max="13326" width="15.7109375" customWidth="1"/>
    <col min="13327" max="13327" width="11.85546875" customWidth="1"/>
    <col min="13570" max="13570" width="3.5703125" customWidth="1"/>
    <col min="13571" max="13571" width="14.85546875" customWidth="1"/>
    <col min="13572" max="13572" width="14.5703125" customWidth="1"/>
    <col min="13573" max="13573" width="12.140625" customWidth="1"/>
    <col min="13574" max="13574" width="11.140625" customWidth="1"/>
    <col min="13575" max="13575" width="13.85546875" customWidth="1"/>
    <col min="13576" max="13576" width="12.7109375" customWidth="1"/>
    <col min="13577" max="13577" width="15.7109375" customWidth="1"/>
    <col min="13578" max="13578" width="15.140625" customWidth="1"/>
    <col min="13579" max="13579" width="14.28515625" customWidth="1"/>
    <col min="13580" max="13580" width="16.5703125" customWidth="1"/>
    <col min="13581" max="13581" width="13.7109375" customWidth="1"/>
    <col min="13582" max="13582" width="15.7109375" customWidth="1"/>
    <col min="13583" max="13583" width="11.85546875" customWidth="1"/>
    <col min="13826" max="13826" width="3.5703125" customWidth="1"/>
    <col min="13827" max="13827" width="14.85546875" customWidth="1"/>
    <col min="13828" max="13828" width="14.5703125" customWidth="1"/>
    <col min="13829" max="13829" width="12.140625" customWidth="1"/>
    <col min="13830" max="13830" width="11.140625" customWidth="1"/>
    <col min="13831" max="13831" width="13.85546875" customWidth="1"/>
    <col min="13832" max="13832" width="12.7109375" customWidth="1"/>
    <col min="13833" max="13833" width="15.7109375" customWidth="1"/>
    <col min="13834" max="13834" width="15.140625" customWidth="1"/>
    <col min="13835" max="13835" width="14.28515625" customWidth="1"/>
    <col min="13836" max="13836" width="16.5703125" customWidth="1"/>
    <col min="13837" max="13837" width="13.7109375" customWidth="1"/>
    <col min="13838" max="13838" width="15.7109375" customWidth="1"/>
    <col min="13839" max="13839" width="11.85546875" customWidth="1"/>
    <col min="14082" max="14082" width="3.5703125" customWidth="1"/>
    <col min="14083" max="14083" width="14.85546875" customWidth="1"/>
    <col min="14084" max="14084" width="14.5703125" customWidth="1"/>
    <col min="14085" max="14085" width="12.140625" customWidth="1"/>
    <col min="14086" max="14086" width="11.140625" customWidth="1"/>
    <col min="14087" max="14087" width="13.85546875" customWidth="1"/>
    <col min="14088" max="14088" width="12.7109375" customWidth="1"/>
    <col min="14089" max="14089" width="15.7109375" customWidth="1"/>
    <col min="14090" max="14090" width="15.140625" customWidth="1"/>
    <col min="14091" max="14091" width="14.28515625" customWidth="1"/>
    <col min="14092" max="14092" width="16.5703125" customWidth="1"/>
    <col min="14093" max="14093" width="13.7109375" customWidth="1"/>
    <col min="14094" max="14094" width="15.7109375" customWidth="1"/>
    <col min="14095" max="14095" width="11.85546875" customWidth="1"/>
    <col min="14338" max="14338" width="3.5703125" customWidth="1"/>
    <col min="14339" max="14339" width="14.85546875" customWidth="1"/>
    <col min="14340" max="14340" width="14.5703125" customWidth="1"/>
    <col min="14341" max="14341" width="12.140625" customWidth="1"/>
    <col min="14342" max="14342" width="11.140625" customWidth="1"/>
    <col min="14343" max="14343" width="13.85546875" customWidth="1"/>
    <col min="14344" max="14344" width="12.7109375" customWidth="1"/>
    <col min="14345" max="14345" width="15.7109375" customWidth="1"/>
    <col min="14346" max="14346" width="15.140625" customWidth="1"/>
    <col min="14347" max="14347" width="14.28515625" customWidth="1"/>
    <col min="14348" max="14348" width="16.5703125" customWidth="1"/>
    <col min="14349" max="14349" width="13.7109375" customWidth="1"/>
    <col min="14350" max="14350" width="15.7109375" customWidth="1"/>
    <col min="14351" max="14351" width="11.85546875" customWidth="1"/>
    <col min="14594" max="14594" width="3.5703125" customWidth="1"/>
    <col min="14595" max="14595" width="14.85546875" customWidth="1"/>
    <col min="14596" max="14596" width="14.5703125" customWidth="1"/>
    <col min="14597" max="14597" width="12.140625" customWidth="1"/>
    <col min="14598" max="14598" width="11.140625" customWidth="1"/>
    <col min="14599" max="14599" width="13.85546875" customWidth="1"/>
    <col min="14600" max="14600" width="12.7109375" customWidth="1"/>
    <col min="14601" max="14601" width="15.7109375" customWidth="1"/>
    <col min="14602" max="14602" width="15.140625" customWidth="1"/>
    <col min="14603" max="14603" width="14.28515625" customWidth="1"/>
    <col min="14604" max="14604" width="16.5703125" customWidth="1"/>
    <col min="14605" max="14605" width="13.7109375" customWidth="1"/>
    <col min="14606" max="14606" width="15.7109375" customWidth="1"/>
    <col min="14607" max="14607" width="11.85546875" customWidth="1"/>
    <col min="14850" max="14850" width="3.5703125" customWidth="1"/>
    <col min="14851" max="14851" width="14.85546875" customWidth="1"/>
    <col min="14852" max="14852" width="14.5703125" customWidth="1"/>
    <col min="14853" max="14853" width="12.140625" customWidth="1"/>
    <col min="14854" max="14854" width="11.140625" customWidth="1"/>
    <col min="14855" max="14855" width="13.85546875" customWidth="1"/>
    <col min="14856" max="14856" width="12.7109375" customWidth="1"/>
    <col min="14857" max="14857" width="15.7109375" customWidth="1"/>
    <col min="14858" max="14858" width="15.140625" customWidth="1"/>
    <col min="14859" max="14859" width="14.28515625" customWidth="1"/>
    <col min="14860" max="14860" width="16.5703125" customWidth="1"/>
    <col min="14861" max="14861" width="13.7109375" customWidth="1"/>
    <col min="14862" max="14862" width="15.7109375" customWidth="1"/>
    <col min="14863" max="14863" width="11.85546875" customWidth="1"/>
    <col min="15106" max="15106" width="3.5703125" customWidth="1"/>
    <col min="15107" max="15107" width="14.85546875" customWidth="1"/>
    <col min="15108" max="15108" width="14.5703125" customWidth="1"/>
    <col min="15109" max="15109" width="12.140625" customWidth="1"/>
    <col min="15110" max="15110" width="11.140625" customWidth="1"/>
    <col min="15111" max="15111" width="13.85546875" customWidth="1"/>
    <col min="15112" max="15112" width="12.7109375" customWidth="1"/>
    <col min="15113" max="15113" width="15.7109375" customWidth="1"/>
    <col min="15114" max="15114" width="15.140625" customWidth="1"/>
    <col min="15115" max="15115" width="14.28515625" customWidth="1"/>
    <col min="15116" max="15116" width="16.5703125" customWidth="1"/>
    <col min="15117" max="15117" width="13.7109375" customWidth="1"/>
    <col min="15118" max="15118" width="15.7109375" customWidth="1"/>
    <col min="15119" max="15119" width="11.85546875" customWidth="1"/>
    <col min="15362" max="15362" width="3.5703125" customWidth="1"/>
    <col min="15363" max="15363" width="14.85546875" customWidth="1"/>
    <col min="15364" max="15364" width="14.5703125" customWidth="1"/>
    <col min="15365" max="15365" width="12.140625" customWidth="1"/>
    <col min="15366" max="15366" width="11.140625" customWidth="1"/>
    <col min="15367" max="15367" width="13.85546875" customWidth="1"/>
    <col min="15368" max="15368" width="12.7109375" customWidth="1"/>
    <col min="15369" max="15369" width="15.7109375" customWidth="1"/>
    <col min="15370" max="15370" width="15.140625" customWidth="1"/>
    <col min="15371" max="15371" width="14.28515625" customWidth="1"/>
    <col min="15372" max="15372" width="16.5703125" customWidth="1"/>
    <col min="15373" max="15373" width="13.7109375" customWidth="1"/>
    <col min="15374" max="15374" width="15.7109375" customWidth="1"/>
    <col min="15375" max="15375" width="11.85546875" customWidth="1"/>
    <col min="15618" max="15618" width="3.5703125" customWidth="1"/>
    <col min="15619" max="15619" width="14.85546875" customWidth="1"/>
    <col min="15620" max="15620" width="14.5703125" customWidth="1"/>
    <col min="15621" max="15621" width="12.140625" customWidth="1"/>
    <col min="15622" max="15622" width="11.140625" customWidth="1"/>
    <col min="15623" max="15623" width="13.85546875" customWidth="1"/>
    <col min="15624" max="15624" width="12.7109375" customWidth="1"/>
    <col min="15625" max="15625" width="15.7109375" customWidth="1"/>
    <col min="15626" max="15626" width="15.140625" customWidth="1"/>
    <col min="15627" max="15627" width="14.28515625" customWidth="1"/>
    <col min="15628" max="15628" width="16.5703125" customWidth="1"/>
    <col min="15629" max="15629" width="13.7109375" customWidth="1"/>
    <col min="15630" max="15630" width="15.7109375" customWidth="1"/>
    <col min="15631" max="15631" width="11.85546875" customWidth="1"/>
    <col min="15874" max="15874" width="3.5703125" customWidth="1"/>
    <col min="15875" max="15875" width="14.85546875" customWidth="1"/>
    <col min="15876" max="15876" width="14.5703125" customWidth="1"/>
    <col min="15877" max="15877" width="12.140625" customWidth="1"/>
    <col min="15878" max="15878" width="11.140625" customWidth="1"/>
    <col min="15879" max="15879" width="13.85546875" customWidth="1"/>
    <col min="15880" max="15880" width="12.7109375" customWidth="1"/>
    <col min="15881" max="15881" width="15.7109375" customWidth="1"/>
    <col min="15882" max="15882" width="15.140625" customWidth="1"/>
    <col min="15883" max="15883" width="14.28515625" customWidth="1"/>
    <col min="15884" max="15884" width="16.5703125" customWidth="1"/>
    <col min="15885" max="15885" width="13.7109375" customWidth="1"/>
    <col min="15886" max="15886" width="15.7109375" customWidth="1"/>
    <col min="15887" max="15887" width="11.85546875" customWidth="1"/>
    <col min="16130" max="16130" width="3.5703125" customWidth="1"/>
    <col min="16131" max="16131" width="14.85546875" customWidth="1"/>
    <col min="16132" max="16132" width="14.5703125" customWidth="1"/>
    <col min="16133" max="16133" width="12.140625" customWidth="1"/>
    <col min="16134" max="16134" width="11.140625" customWidth="1"/>
    <col min="16135" max="16135" width="13.85546875" customWidth="1"/>
    <col min="16136" max="16136" width="12.7109375" customWidth="1"/>
    <col min="16137" max="16137" width="15.7109375" customWidth="1"/>
    <col min="16138" max="16138" width="15.140625" customWidth="1"/>
    <col min="16139" max="16139" width="14.28515625" customWidth="1"/>
    <col min="16140" max="16140" width="16.5703125" customWidth="1"/>
    <col min="16141" max="16141" width="13.7109375" customWidth="1"/>
    <col min="16142" max="16142" width="15.7109375" customWidth="1"/>
    <col min="16143" max="16143" width="11.85546875" customWidth="1"/>
  </cols>
  <sheetData>
    <row r="1" spans="2:15" ht="15.75" thickBot="1" x14ac:dyDescent="0.3"/>
    <row r="2" spans="2:15" ht="18" x14ac:dyDescent="0.25">
      <c r="B2" s="3"/>
      <c r="C2" s="4"/>
      <c r="D2" s="62" t="s">
        <v>8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8" t="s">
        <v>0</v>
      </c>
    </row>
    <row r="3" spans="2:15" ht="18" x14ac:dyDescent="0.25">
      <c r="B3" s="5"/>
      <c r="C3" s="6"/>
      <c r="D3" s="63" t="s">
        <v>36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10" t="s">
        <v>1</v>
      </c>
    </row>
    <row r="4" spans="2:15" ht="22.5" customHeight="1" x14ac:dyDescent="0.25">
      <c r="B4" s="5"/>
      <c r="C4" s="6"/>
      <c r="D4" s="63" t="s">
        <v>15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1" t="s">
        <v>2</v>
      </c>
    </row>
    <row r="5" spans="2:15" ht="22.5" customHeight="1" thickBot="1" x14ac:dyDescent="0.3">
      <c r="B5" s="64" t="s">
        <v>41</v>
      </c>
      <c r="C5" s="65"/>
      <c r="D5" s="65"/>
      <c r="E5" s="65"/>
      <c r="F5" s="65"/>
      <c r="G5" s="66"/>
      <c r="H5" s="67" t="s">
        <v>72</v>
      </c>
      <c r="I5" s="67"/>
      <c r="J5" s="67"/>
      <c r="K5" s="67"/>
      <c r="L5" s="67"/>
      <c r="M5" s="67"/>
      <c r="N5" s="67"/>
      <c r="O5" s="68"/>
    </row>
    <row r="6" spans="2:15" ht="18.75" thickBot="1" x14ac:dyDescent="0.3">
      <c r="B6" s="64" t="s">
        <v>40</v>
      </c>
      <c r="C6" s="65"/>
      <c r="D6" s="65"/>
      <c r="E6" s="65"/>
      <c r="F6" s="65"/>
      <c r="G6" s="66"/>
      <c r="H6" s="69" t="s">
        <v>73</v>
      </c>
      <c r="I6" s="69"/>
      <c r="J6" s="69"/>
      <c r="K6" s="69"/>
      <c r="L6" s="69"/>
      <c r="M6" s="69"/>
      <c r="N6" s="69"/>
      <c r="O6" s="70"/>
    </row>
    <row r="7" spans="2:15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2:15" s="18" customFormat="1" x14ac:dyDescent="0.2">
      <c r="B8" s="45" t="s">
        <v>9</v>
      </c>
      <c r="C8" s="71">
        <v>2024</v>
      </c>
      <c r="D8" s="71"/>
      <c r="E8" s="14"/>
      <c r="F8" s="9"/>
      <c r="G8" s="15"/>
      <c r="H8" s="16"/>
      <c r="I8" s="16"/>
      <c r="J8" s="16"/>
      <c r="K8" s="16"/>
      <c r="L8" s="16"/>
      <c r="M8" s="16"/>
      <c r="N8" s="16"/>
      <c r="O8" s="17"/>
    </row>
    <row r="9" spans="2:15" ht="15.75" x14ac:dyDescent="0.25">
      <c r="B9" s="45" t="s">
        <v>37</v>
      </c>
      <c r="C9" s="71" t="s">
        <v>32</v>
      </c>
      <c r="D9" s="71"/>
      <c r="E9" s="14"/>
      <c r="F9" s="9"/>
      <c r="G9" s="9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19"/>
      <c r="C10" s="20"/>
      <c r="D10" s="20"/>
      <c r="E10" s="20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ht="26.25" x14ac:dyDescent="0.25">
      <c r="B11" s="22" t="s">
        <v>10</v>
      </c>
      <c r="C11" s="21" t="s">
        <v>38</v>
      </c>
      <c r="D11" s="21" t="s">
        <v>11</v>
      </c>
      <c r="E11" s="21" t="s">
        <v>23</v>
      </c>
      <c r="F11" s="21" t="s">
        <v>12</v>
      </c>
      <c r="G11" s="21" t="s">
        <v>13</v>
      </c>
      <c r="H11" s="21" t="s">
        <v>14</v>
      </c>
      <c r="I11" s="21" t="s">
        <v>20</v>
      </c>
      <c r="J11" s="21" t="s">
        <v>16</v>
      </c>
      <c r="K11" s="21" t="s">
        <v>17</v>
      </c>
      <c r="L11" s="21" t="s">
        <v>21</v>
      </c>
      <c r="M11" s="21" t="s">
        <v>22</v>
      </c>
      <c r="N11" s="21" t="s">
        <v>18</v>
      </c>
      <c r="O11" s="23" t="s">
        <v>19</v>
      </c>
    </row>
    <row r="12" spans="2:15" s="58" customFormat="1" ht="38.25" x14ac:dyDescent="0.25">
      <c r="B12" s="50" t="s">
        <v>42</v>
      </c>
      <c r="C12" s="51" t="s">
        <v>3</v>
      </c>
      <c r="D12" s="51" t="s">
        <v>7</v>
      </c>
      <c r="E12" s="51" t="s">
        <v>72</v>
      </c>
      <c r="F12" s="52">
        <v>3000000</v>
      </c>
      <c r="G12" s="53">
        <v>0</v>
      </c>
      <c r="H12" s="54">
        <v>0</v>
      </c>
      <c r="I12" s="52">
        <f>+F12+G12-H12</f>
        <v>3000000</v>
      </c>
      <c r="J12" s="54">
        <v>190000</v>
      </c>
      <c r="K12" s="54">
        <f>5375507+J12</f>
        <v>5565507</v>
      </c>
      <c r="L12" s="55">
        <f t="shared" ref="L12:L23" si="0">(I12-K12)</f>
        <v>-2565507</v>
      </c>
      <c r="M12" s="55">
        <f t="shared" ref="M12:M23" si="1">+K12-I12</f>
        <v>2565507</v>
      </c>
      <c r="N12" s="56">
        <f>IF(L12&gt;=0,L12,0)</f>
        <v>0</v>
      </c>
      <c r="O12" s="57">
        <f t="shared" ref="O12:O23" si="2">IF(M12&gt;=0,M12,0)</f>
        <v>2565507</v>
      </c>
    </row>
    <row r="13" spans="2:15" ht="38.25" x14ac:dyDescent="0.25">
      <c r="B13" s="25" t="s">
        <v>45</v>
      </c>
      <c r="C13" s="51" t="s">
        <v>3</v>
      </c>
      <c r="D13" s="51" t="s">
        <v>7</v>
      </c>
      <c r="E13" s="51" t="s">
        <v>72</v>
      </c>
      <c r="F13" s="52">
        <v>3000000</v>
      </c>
      <c r="G13" s="53">
        <v>0</v>
      </c>
      <c r="H13" s="54">
        <v>0</v>
      </c>
      <c r="I13" s="38">
        <f t="shared" ref="I13:I23" si="3">+F13+G13-H13</f>
        <v>3000000</v>
      </c>
      <c r="J13" s="54"/>
      <c r="K13" s="54">
        <v>0</v>
      </c>
      <c r="L13" s="39">
        <f t="shared" si="0"/>
        <v>3000000</v>
      </c>
      <c r="M13" s="39">
        <f t="shared" si="1"/>
        <v>-3000000</v>
      </c>
      <c r="N13" s="40">
        <f t="shared" ref="N13:N23" si="4">IF(L13&gt;=0,L13,0)</f>
        <v>3000000</v>
      </c>
      <c r="O13" s="37">
        <f t="shared" si="2"/>
        <v>0</v>
      </c>
    </row>
    <row r="14" spans="2:15" ht="38.25" x14ac:dyDescent="0.25">
      <c r="B14" s="25" t="s">
        <v>47</v>
      </c>
      <c r="C14" s="51" t="s">
        <v>3</v>
      </c>
      <c r="D14" s="51" t="s">
        <v>7</v>
      </c>
      <c r="E14" s="51" t="s">
        <v>72</v>
      </c>
      <c r="F14" s="52">
        <v>320000</v>
      </c>
      <c r="G14" s="53">
        <v>0</v>
      </c>
      <c r="H14" s="54">
        <v>0</v>
      </c>
      <c r="I14" s="38">
        <f t="shared" si="3"/>
        <v>320000</v>
      </c>
      <c r="J14" s="54">
        <f>24000+6000+7000+5800</f>
        <v>42800</v>
      </c>
      <c r="K14" s="54">
        <f>294600+J14</f>
        <v>337400</v>
      </c>
      <c r="L14" s="39">
        <f t="shared" si="0"/>
        <v>-17400</v>
      </c>
      <c r="M14" s="39">
        <f t="shared" si="1"/>
        <v>17400</v>
      </c>
      <c r="N14" s="40">
        <f t="shared" si="4"/>
        <v>0</v>
      </c>
      <c r="O14" s="37">
        <f t="shared" si="2"/>
        <v>17400</v>
      </c>
    </row>
    <row r="15" spans="2:15" ht="38.25" x14ac:dyDescent="0.25">
      <c r="B15" s="25" t="s">
        <v>49</v>
      </c>
      <c r="C15" s="51" t="s">
        <v>3</v>
      </c>
      <c r="D15" s="51" t="s">
        <v>7</v>
      </c>
      <c r="E15" s="51" t="s">
        <v>72</v>
      </c>
      <c r="F15" s="52">
        <v>1200000</v>
      </c>
      <c r="G15" s="53">
        <v>0</v>
      </c>
      <c r="H15" s="54">
        <v>0</v>
      </c>
      <c r="I15" s="38">
        <f t="shared" si="3"/>
        <v>1200000</v>
      </c>
      <c r="J15" s="54"/>
      <c r="K15" s="54">
        <v>2380407</v>
      </c>
      <c r="L15" s="39">
        <f t="shared" si="0"/>
        <v>-1180407</v>
      </c>
      <c r="M15" s="39">
        <f t="shared" si="1"/>
        <v>1180407</v>
      </c>
      <c r="N15" s="40">
        <f t="shared" si="4"/>
        <v>0</v>
      </c>
      <c r="O15" s="37">
        <f t="shared" si="2"/>
        <v>1180407</v>
      </c>
    </row>
    <row r="16" spans="2:15" ht="38.25" x14ac:dyDescent="0.25">
      <c r="B16" s="25" t="s">
        <v>51</v>
      </c>
      <c r="C16" s="51" t="s">
        <v>3</v>
      </c>
      <c r="D16" s="51" t="s">
        <v>7</v>
      </c>
      <c r="E16" s="51" t="s">
        <v>72</v>
      </c>
      <c r="F16" s="52">
        <v>1500000</v>
      </c>
      <c r="G16" s="53">
        <v>0</v>
      </c>
      <c r="H16" s="54">
        <v>0</v>
      </c>
      <c r="I16" s="38">
        <f t="shared" si="3"/>
        <v>1500000</v>
      </c>
      <c r="J16" s="54"/>
      <c r="K16" s="54">
        <v>1166000</v>
      </c>
      <c r="L16" s="39">
        <f t="shared" si="0"/>
        <v>334000</v>
      </c>
      <c r="M16" s="39">
        <f t="shared" si="1"/>
        <v>-334000</v>
      </c>
      <c r="N16" s="40">
        <f t="shared" si="4"/>
        <v>334000</v>
      </c>
      <c r="O16" s="37">
        <f t="shared" si="2"/>
        <v>0</v>
      </c>
    </row>
    <row r="17" spans="2:15" ht="38.25" x14ac:dyDescent="0.25">
      <c r="B17" s="25" t="s">
        <v>52</v>
      </c>
      <c r="C17" s="51" t="s">
        <v>3</v>
      </c>
      <c r="D17" s="51" t="s">
        <v>7</v>
      </c>
      <c r="E17" s="51" t="s">
        <v>72</v>
      </c>
      <c r="F17" s="52">
        <v>800000</v>
      </c>
      <c r="G17" s="53">
        <v>0</v>
      </c>
      <c r="H17" s="54">
        <v>0</v>
      </c>
      <c r="I17" s="38">
        <f t="shared" si="3"/>
        <v>800000</v>
      </c>
      <c r="J17" s="54"/>
      <c r="K17" s="54">
        <v>26500</v>
      </c>
      <c r="L17" s="39">
        <f t="shared" si="0"/>
        <v>773500</v>
      </c>
      <c r="M17" s="39">
        <f t="shared" si="1"/>
        <v>-773500</v>
      </c>
      <c r="N17" s="40">
        <f t="shared" si="4"/>
        <v>773500</v>
      </c>
      <c r="O17" s="37">
        <f t="shared" si="2"/>
        <v>0</v>
      </c>
    </row>
    <row r="18" spans="2:15" ht="38.25" x14ac:dyDescent="0.25">
      <c r="B18" s="25" t="s">
        <v>64</v>
      </c>
      <c r="C18" s="51" t="s">
        <v>3</v>
      </c>
      <c r="D18" s="51" t="s">
        <v>7</v>
      </c>
      <c r="E18" s="51" t="s">
        <v>72</v>
      </c>
      <c r="F18" s="52">
        <v>20000</v>
      </c>
      <c r="G18" s="53">
        <v>0</v>
      </c>
      <c r="H18" s="54">
        <v>0</v>
      </c>
      <c r="I18" s="38">
        <f t="shared" si="3"/>
        <v>20000</v>
      </c>
      <c r="J18" s="54">
        <v>1038</v>
      </c>
      <c r="K18" s="54">
        <f>8947.58+J18</f>
        <v>9985.58</v>
      </c>
      <c r="L18" s="39">
        <f t="shared" si="0"/>
        <v>10014.42</v>
      </c>
      <c r="M18" s="39">
        <f t="shared" si="1"/>
        <v>-10014.42</v>
      </c>
      <c r="N18" s="40">
        <f t="shared" si="4"/>
        <v>10014.42</v>
      </c>
      <c r="O18" s="37">
        <f t="shared" si="2"/>
        <v>0</v>
      </c>
    </row>
    <row r="19" spans="2:15" ht="38.25" x14ac:dyDescent="0.25">
      <c r="B19" s="25" t="s">
        <v>39</v>
      </c>
      <c r="C19" s="24" t="s">
        <v>4</v>
      </c>
      <c r="D19" s="51" t="s">
        <v>7</v>
      </c>
      <c r="E19" s="51" t="s">
        <v>72</v>
      </c>
      <c r="F19" s="52">
        <v>58000000</v>
      </c>
      <c r="G19" s="53">
        <v>25811611</v>
      </c>
      <c r="H19" s="54">
        <v>0</v>
      </c>
      <c r="I19" s="38">
        <f t="shared" si="3"/>
        <v>83811611</v>
      </c>
      <c r="J19" s="54"/>
      <c r="K19" s="54">
        <v>83811611</v>
      </c>
      <c r="L19" s="39">
        <f t="shared" si="0"/>
        <v>0</v>
      </c>
      <c r="M19" s="39">
        <f t="shared" si="1"/>
        <v>0</v>
      </c>
      <c r="N19" s="40">
        <f t="shared" si="4"/>
        <v>0</v>
      </c>
      <c r="O19" s="37">
        <f t="shared" si="2"/>
        <v>0</v>
      </c>
    </row>
    <row r="20" spans="2:15" ht="38.25" x14ac:dyDescent="0.25">
      <c r="B20" s="25" t="s">
        <v>65</v>
      </c>
      <c r="C20" s="24" t="s">
        <v>4</v>
      </c>
      <c r="D20" s="51" t="s">
        <v>7</v>
      </c>
      <c r="E20" s="51" t="s">
        <v>72</v>
      </c>
      <c r="F20" s="52">
        <v>40000</v>
      </c>
      <c r="G20" s="53">
        <v>0</v>
      </c>
      <c r="H20" s="54">
        <v>0</v>
      </c>
      <c r="I20" s="38">
        <f t="shared" si="3"/>
        <v>40000</v>
      </c>
      <c r="J20" s="54">
        <v>6802</v>
      </c>
      <c r="K20" s="54">
        <f>42161.04+J20</f>
        <v>48963.040000000001</v>
      </c>
      <c r="L20" s="39">
        <f t="shared" si="0"/>
        <v>-8963.0400000000009</v>
      </c>
      <c r="M20" s="39">
        <f t="shared" si="1"/>
        <v>8963.0400000000009</v>
      </c>
      <c r="N20" s="40">
        <f t="shared" si="4"/>
        <v>0</v>
      </c>
      <c r="O20" s="37">
        <f t="shared" si="2"/>
        <v>8963.0400000000009</v>
      </c>
    </row>
    <row r="21" spans="2:15" ht="51" x14ac:dyDescent="0.25">
      <c r="B21" s="25" t="s">
        <v>61</v>
      </c>
      <c r="C21" s="24" t="s">
        <v>63</v>
      </c>
      <c r="D21" s="51" t="s">
        <v>7</v>
      </c>
      <c r="E21" s="51" t="s">
        <v>72</v>
      </c>
      <c r="F21" s="52"/>
      <c r="G21" s="53">
        <v>11182198.85</v>
      </c>
      <c r="H21" s="54">
        <v>0</v>
      </c>
      <c r="I21" s="38">
        <f t="shared" si="3"/>
        <v>11182198.85</v>
      </c>
      <c r="J21" s="54"/>
      <c r="K21" s="54">
        <v>11182198.85</v>
      </c>
      <c r="L21" s="39">
        <f t="shared" si="0"/>
        <v>0</v>
      </c>
      <c r="M21" s="39">
        <f t="shared" si="1"/>
        <v>0</v>
      </c>
      <c r="N21" s="40">
        <f t="shared" si="4"/>
        <v>0</v>
      </c>
      <c r="O21" s="37">
        <f t="shared" si="2"/>
        <v>0</v>
      </c>
    </row>
    <row r="22" spans="2:15" ht="51" x14ac:dyDescent="0.25">
      <c r="B22" s="25" t="s">
        <v>62</v>
      </c>
      <c r="C22" s="24" t="s">
        <v>63</v>
      </c>
      <c r="D22" s="51" t="s">
        <v>7</v>
      </c>
      <c r="E22" s="51" t="s">
        <v>72</v>
      </c>
      <c r="F22" s="52">
        <v>0</v>
      </c>
      <c r="G22" s="53">
        <v>19457464.260000002</v>
      </c>
      <c r="H22" s="54">
        <v>0</v>
      </c>
      <c r="I22" s="41">
        <f t="shared" si="3"/>
        <v>19457464.260000002</v>
      </c>
      <c r="J22" s="54"/>
      <c r="K22" s="54">
        <v>19457464.260000002</v>
      </c>
      <c r="L22" s="39">
        <f t="shared" si="0"/>
        <v>0</v>
      </c>
      <c r="M22" s="39">
        <f t="shared" si="1"/>
        <v>0</v>
      </c>
      <c r="N22" s="40">
        <f t="shared" si="4"/>
        <v>0</v>
      </c>
      <c r="O22" s="37">
        <f t="shared" si="2"/>
        <v>0</v>
      </c>
    </row>
    <row r="23" spans="2:15" ht="23.25" customHeight="1" x14ac:dyDescent="0.25">
      <c r="B23" s="25"/>
      <c r="C23" s="24"/>
      <c r="D23" s="26"/>
      <c r="E23" s="26"/>
      <c r="F23" s="52">
        <v>0</v>
      </c>
      <c r="G23" s="53">
        <v>0</v>
      </c>
      <c r="H23" s="54">
        <v>0</v>
      </c>
      <c r="I23" s="41">
        <f t="shared" si="3"/>
        <v>0</v>
      </c>
      <c r="J23" s="54"/>
      <c r="K23" s="54">
        <v>0</v>
      </c>
      <c r="L23" s="39">
        <f t="shared" si="0"/>
        <v>0</v>
      </c>
      <c r="M23" s="39">
        <f t="shared" si="1"/>
        <v>0</v>
      </c>
      <c r="N23" s="40">
        <f t="shared" si="4"/>
        <v>0</v>
      </c>
      <c r="O23" s="37">
        <f t="shared" si="2"/>
        <v>0</v>
      </c>
    </row>
    <row r="24" spans="2:15" s="27" customFormat="1" ht="15.75" x14ac:dyDescent="0.25">
      <c r="B24" s="59" t="s">
        <v>71</v>
      </c>
      <c r="C24" s="60"/>
      <c r="D24" s="60"/>
      <c r="E24" s="61"/>
      <c r="F24" s="42">
        <f t="shared" ref="F24:O24" si="5">SUM(F12:F23)</f>
        <v>67880000</v>
      </c>
      <c r="G24" s="42">
        <f t="shared" si="5"/>
        <v>56451274.109999999</v>
      </c>
      <c r="H24" s="42">
        <f t="shared" si="5"/>
        <v>0</v>
      </c>
      <c r="I24" s="42">
        <f t="shared" si="5"/>
        <v>124331274.11</v>
      </c>
      <c r="J24" s="42">
        <f t="shared" si="5"/>
        <v>240640</v>
      </c>
      <c r="K24" s="42">
        <f t="shared" si="5"/>
        <v>123986036.73</v>
      </c>
      <c r="L24" s="42">
        <f t="shared" si="5"/>
        <v>345237.38</v>
      </c>
      <c r="M24" s="42">
        <f t="shared" si="5"/>
        <v>-345237.38</v>
      </c>
      <c r="N24" s="42">
        <f t="shared" si="5"/>
        <v>4117514.42</v>
      </c>
      <c r="O24" s="43">
        <f t="shared" si="5"/>
        <v>3772277.04</v>
      </c>
    </row>
    <row r="25" spans="2:15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2:15" ht="35.25" customHeight="1" x14ac:dyDescent="0.2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15" x14ac:dyDescent="0.25">
      <c r="B27" s="5"/>
      <c r="C27" s="6"/>
      <c r="D27" s="6"/>
      <c r="E27" s="36"/>
      <c r="F27" s="36"/>
      <c r="G27" s="6"/>
      <c r="H27" s="6"/>
      <c r="I27" s="6"/>
      <c r="J27" s="6"/>
      <c r="K27" s="6"/>
      <c r="L27" s="6"/>
      <c r="M27" s="6"/>
      <c r="N27" s="6"/>
      <c r="O27" s="7"/>
    </row>
    <row r="28" spans="2:15" ht="15.75" x14ac:dyDescent="0.25">
      <c r="B28" s="5"/>
      <c r="C28" s="6"/>
      <c r="D28" s="6"/>
      <c r="E28" s="32" t="s">
        <v>70</v>
      </c>
      <c r="G28" s="31"/>
      <c r="H28" s="31"/>
      <c r="I28" s="31"/>
      <c r="J28" s="29" t="s">
        <v>69</v>
      </c>
      <c r="K28" s="30"/>
      <c r="L28" s="6"/>
      <c r="M28" s="6"/>
      <c r="N28" s="6"/>
      <c r="O28" s="7"/>
    </row>
    <row r="29" spans="2:15" ht="15.75" x14ac:dyDescent="0.25">
      <c r="B29" s="5"/>
      <c r="C29" s="6"/>
      <c r="D29" s="6"/>
      <c r="E29" s="32" t="s">
        <v>74</v>
      </c>
      <c r="G29" s="31"/>
      <c r="H29" s="31"/>
      <c r="I29" s="31"/>
      <c r="J29" s="32" t="s">
        <v>75</v>
      </c>
      <c r="K29" s="6"/>
      <c r="L29" s="6"/>
      <c r="M29" s="6"/>
      <c r="N29" s="6"/>
      <c r="O29" s="7"/>
    </row>
    <row r="30" spans="2:15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ht="15.75" thickBot="1" x14ac:dyDescent="0.3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87" spans="3:6" hidden="1" x14ac:dyDescent="0.25"/>
    <row r="88" spans="3:6" hidden="1" x14ac:dyDescent="0.25"/>
    <row r="89" spans="3:6" hidden="1" x14ac:dyDescent="0.25">
      <c r="C89" s="1"/>
      <c r="D89" s="1"/>
      <c r="E89" s="1"/>
      <c r="F89" s="49" t="s">
        <v>42</v>
      </c>
    </row>
    <row r="90" spans="3:6" hidden="1" x14ac:dyDescent="0.25">
      <c r="C90" s="1"/>
      <c r="D90" s="1"/>
      <c r="E90" s="1"/>
      <c r="F90" s="49" t="s">
        <v>43</v>
      </c>
    </row>
    <row r="91" spans="3:6" hidden="1" x14ac:dyDescent="0.25">
      <c r="C91" s="1"/>
      <c r="D91" s="1"/>
      <c r="E91" s="1"/>
      <c r="F91" s="49" t="s">
        <v>44</v>
      </c>
    </row>
    <row r="92" spans="3:6" hidden="1" x14ac:dyDescent="0.25">
      <c r="C92" s="1"/>
      <c r="D92" s="1"/>
      <c r="E92" s="1"/>
      <c r="F92" s="49" t="s">
        <v>45</v>
      </c>
    </row>
    <row r="93" spans="3:6" hidden="1" x14ac:dyDescent="0.25">
      <c r="C93" s="1"/>
      <c r="D93" s="1"/>
      <c r="E93" s="1"/>
      <c r="F93" s="49" t="s">
        <v>46</v>
      </c>
    </row>
    <row r="94" spans="3:6" hidden="1" x14ac:dyDescent="0.25">
      <c r="C94" s="1"/>
      <c r="D94" s="1"/>
      <c r="E94" s="1"/>
      <c r="F94" s="49" t="s">
        <v>47</v>
      </c>
    </row>
    <row r="95" spans="3:6" hidden="1" x14ac:dyDescent="0.25">
      <c r="C95" s="1"/>
      <c r="D95" s="1"/>
      <c r="E95" s="1"/>
      <c r="F95" s="49" t="s">
        <v>48</v>
      </c>
    </row>
    <row r="96" spans="3:6" hidden="1" x14ac:dyDescent="0.25">
      <c r="C96" s="1"/>
      <c r="D96" s="1"/>
      <c r="E96" s="1"/>
      <c r="F96" s="49" t="s">
        <v>49</v>
      </c>
    </row>
    <row r="97" spans="2:6" hidden="1" x14ac:dyDescent="0.25">
      <c r="C97" s="1"/>
      <c r="D97" s="1"/>
      <c r="E97" s="1"/>
      <c r="F97" s="49" t="s">
        <v>50</v>
      </c>
    </row>
    <row r="98" spans="2:6" hidden="1" x14ac:dyDescent="0.25">
      <c r="C98" s="1"/>
      <c r="D98" s="1"/>
      <c r="E98" s="1"/>
      <c r="F98" s="48" t="s">
        <v>51</v>
      </c>
    </row>
    <row r="99" spans="2:6" hidden="1" x14ac:dyDescent="0.25">
      <c r="B99" s="6"/>
      <c r="C99" s="28"/>
      <c r="D99" s="1"/>
      <c r="E99" s="1"/>
      <c r="F99" s="48" t="s">
        <v>52</v>
      </c>
    </row>
    <row r="100" spans="2:6" hidden="1" x14ac:dyDescent="0.25">
      <c r="B100" s="6"/>
      <c r="C100" s="28"/>
      <c r="D100" s="1"/>
      <c r="E100" s="1"/>
      <c r="F100" s="48" t="s">
        <v>53</v>
      </c>
    </row>
    <row r="101" spans="2:6" hidden="1" x14ac:dyDescent="0.25">
      <c r="B101" s="6"/>
      <c r="C101" s="28"/>
      <c r="D101" s="1"/>
      <c r="E101" s="1"/>
      <c r="F101" s="48" t="s">
        <v>54</v>
      </c>
    </row>
    <row r="102" spans="2:6" hidden="1" x14ac:dyDescent="0.25">
      <c r="B102" s="6"/>
      <c r="C102" s="28"/>
      <c r="D102" s="1"/>
      <c r="E102" s="1"/>
      <c r="F102" s="48" t="s">
        <v>55</v>
      </c>
    </row>
    <row r="103" spans="2:6" hidden="1" x14ac:dyDescent="0.25">
      <c r="B103" s="6"/>
      <c r="C103" s="28"/>
      <c r="D103" s="1"/>
      <c r="E103" s="1"/>
      <c r="F103" s="46" t="s">
        <v>39</v>
      </c>
    </row>
    <row r="104" spans="2:6" hidden="1" x14ac:dyDescent="0.25">
      <c r="B104" s="6"/>
      <c r="C104" s="28"/>
      <c r="D104" s="1"/>
      <c r="E104" s="1"/>
      <c r="F104" s="47" t="s">
        <v>56</v>
      </c>
    </row>
    <row r="105" spans="2:6" hidden="1" x14ac:dyDescent="0.25">
      <c r="B105" s="2" t="s">
        <v>3</v>
      </c>
      <c r="E105" t="s">
        <v>7</v>
      </c>
      <c r="F105" s="47" t="s">
        <v>57</v>
      </c>
    </row>
    <row r="106" spans="2:6" hidden="1" x14ac:dyDescent="0.25">
      <c r="B106" s="2" t="s">
        <v>4</v>
      </c>
      <c r="E106" t="s">
        <v>68</v>
      </c>
      <c r="F106" s="47" t="s">
        <v>58</v>
      </c>
    </row>
    <row r="107" spans="2:6" hidden="1" x14ac:dyDescent="0.25">
      <c r="B107" s="2" t="s">
        <v>5</v>
      </c>
      <c r="F107" s="48" t="s">
        <v>64</v>
      </c>
    </row>
    <row r="108" spans="2:6" hidden="1" x14ac:dyDescent="0.25">
      <c r="B108" s="2" t="s">
        <v>6</v>
      </c>
      <c r="F108" s="48" t="s">
        <v>65</v>
      </c>
    </row>
    <row r="109" spans="2:6" hidden="1" x14ac:dyDescent="0.25">
      <c r="B109" s="2" t="s">
        <v>63</v>
      </c>
      <c r="F109" s="48" t="s">
        <v>67</v>
      </c>
    </row>
    <row r="110" spans="2:6" hidden="1" x14ac:dyDescent="0.25">
      <c r="F110" s="49" t="s">
        <v>59</v>
      </c>
    </row>
    <row r="111" spans="2:6" hidden="1" x14ac:dyDescent="0.25">
      <c r="B111" s="44">
        <v>2024</v>
      </c>
      <c r="F111" s="49" t="s">
        <v>60</v>
      </c>
    </row>
    <row r="112" spans="2:6" hidden="1" x14ac:dyDescent="0.25">
      <c r="D112" t="s">
        <v>24</v>
      </c>
      <c r="F112" s="49" t="s">
        <v>61</v>
      </c>
    </row>
    <row r="113" spans="4:6" hidden="1" x14ac:dyDescent="0.25">
      <c r="D113" t="s">
        <v>25</v>
      </c>
      <c r="F113" s="49" t="s">
        <v>62</v>
      </c>
    </row>
    <row r="114" spans="4:6" hidden="1" x14ac:dyDescent="0.25">
      <c r="D114" t="s">
        <v>26</v>
      </c>
      <c r="F114" s="49" t="s">
        <v>66</v>
      </c>
    </row>
    <row r="115" spans="4:6" hidden="1" x14ac:dyDescent="0.25">
      <c r="D115" t="s">
        <v>27</v>
      </c>
    </row>
    <row r="116" spans="4:6" hidden="1" x14ac:dyDescent="0.25">
      <c r="D116" t="s">
        <v>28</v>
      </c>
    </row>
    <row r="117" spans="4:6" hidden="1" x14ac:dyDescent="0.25">
      <c r="D117" t="s">
        <v>29</v>
      </c>
    </row>
    <row r="118" spans="4:6" hidden="1" x14ac:dyDescent="0.25">
      <c r="D118" t="s">
        <v>30</v>
      </c>
    </row>
    <row r="119" spans="4:6" hidden="1" x14ac:dyDescent="0.25">
      <c r="D119" t="s">
        <v>31</v>
      </c>
    </row>
    <row r="120" spans="4:6" hidden="1" x14ac:dyDescent="0.25">
      <c r="D120" t="s">
        <v>32</v>
      </c>
    </row>
    <row r="121" spans="4:6" hidden="1" x14ac:dyDescent="0.25">
      <c r="D121" t="s">
        <v>33</v>
      </c>
    </row>
    <row r="122" spans="4:6" hidden="1" x14ac:dyDescent="0.25">
      <c r="D122" t="s">
        <v>34</v>
      </c>
    </row>
    <row r="123" spans="4:6" hidden="1" x14ac:dyDescent="0.25">
      <c r="D123" t="s">
        <v>35</v>
      </c>
    </row>
    <row r="124" spans="4:6" hidden="1" x14ac:dyDescent="0.25"/>
    <row r="125" spans="4:6" hidden="1" x14ac:dyDescent="0.25"/>
    <row r="126" spans="4:6" hidden="1" x14ac:dyDescent="0.25"/>
    <row r="127" spans="4:6" hidden="1" x14ac:dyDescent="0.25"/>
    <row r="128" spans="4:6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</sheetData>
  <sheetProtection password="F062"/>
  <protectedRanges>
    <protectedRange sqref="H5:O6 E27:F27 J27:K27 C8:C9" name="Rango2"/>
    <protectedRange sqref="B12:H23 J12:K23" name="Rango1"/>
  </protectedRanges>
  <dataConsolidate/>
  <mergeCells count="10">
    <mergeCell ref="C8:D8"/>
    <mergeCell ref="C9:D9"/>
    <mergeCell ref="B24:E24"/>
    <mergeCell ref="D2:N2"/>
    <mergeCell ref="D3:N3"/>
    <mergeCell ref="D4:N4"/>
    <mergeCell ref="B5:G5"/>
    <mergeCell ref="H5:O5"/>
    <mergeCell ref="B6:G6"/>
    <mergeCell ref="H6:O6"/>
  </mergeCells>
  <conditionalFormatting sqref="O12:O23">
    <cfRule type="cellIs" dxfId="23" priority="8" operator="greaterThan">
      <formula>1</formula>
    </cfRule>
  </conditionalFormatting>
  <conditionalFormatting sqref="N12:N23">
    <cfRule type="cellIs" dxfId="22" priority="7" operator="greaterThan">
      <formula>1</formula>
    </cfRule>
  </conditionalFormatting>
  <conditionalFormatting sqref="N12:N23">
    <cfRule type="cellIs" dxfId="21" priority="6" operator="greaterThan">
      <formula>1</formula>
    </cfRule>
  </conditionalFormatting>
  <conditionalFormatting sqref="O12:O23">
    <cfRule type="cellIs" dxfId="20" priority="4" operator="greaterThan">
      <formula>1</formula>
    </cfRule>
    <cfRule type="cellIs" dxfId="19" priority="5" operator="greaterThan">
      <formula>1</formula>
    </cfRule>
  </conditionalFormatting>
  <conditionalFormatting sqref="O12:O23">
    <cfRule type="cellIs" dxfId="18" priority="1" operator="greaterThan">
      <formula>1</formula>
    </cfRule>
    <cfRule type="cellIs" dxfId="17" priority="2" operator="greaterThan">
      <formula>1</formula>
    </cfRule>
    <cfRule type="cellIs" dxfId="16" priority="3" operator="greaterThan">
      <formula>1</formula>
    </cfRule>
  </conditionalFormatting>
  <dataValidations count="5">
    <dataValidation type="list" allowBlank="1" showInputMessage="1" showErrorMessage="1" sqref="C9" xr:uid="{90810ECC-DC1B-40F0-8A4F-843A92DDEF77}">
      <formula1>$D$112:$D$123</formula1>
    </dataValidation>
    <dataValidation type="list" allowBlank="1" showInputMessage="1" showErrorMessage="1" sqref="D12:D22" xr:uid="{9E4C9BDB-A51C-45AC-9065-2F88E0480343}">
      <formula1>$E$105:$E$106</formula1>
    </dataValidation>
    <dataValidation type="list" allowBlank="1" showInputMessage="1" showErrorMessage="1" sqref="C8" xr:uid="{2A75D02A-0BE5-44DD-8C5D-2190635E563C}">
      <formula1>$B$111</formula1>
    </dataValidation>
    <dataValidation type="list" allowBlank="1" showInputMessage="1" showErrorMessage="1" sqref="B12:B23" xr:uid="{E569EAC3-E0D1-4C51-9B83-A3BF7BF35DF7}">
      <formula1>$F$89:$F$114</formula1>
    </dataValidation>
    <dataValidation type="list" allowBlank="1" showInputMessage="1" showErrorMessage="1" sqref="C12:C23" xr:uid="{8D8FA4B4-136B-4936-B4A0-3C53103DEB61}">
      <formula1>$B$105:$B$109</formula1>
    </dataValidation>
  </dataValidations>
  <pageMargins left="0" right="0" top="0" bottom="0" header="0" footer="0"/>
  <pageSetup scale="45"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MSANCHEZS</dc:creator>
  <cp:lastModifiedBy>Leidy Johana</cp:lastModifiedBy>
  <cp:lastPrinted>2024-08-13T16:49:50Z</cp:lastPrinted>
  <dcterms:created xsi:type="dcterms:W3CDTF">2015-01-22T19:17:17Z</dcterms:created>
  <dcterms:modified xsi:type="dcterms:W3CDTF">2024-11-17T02:07:19Z</dcterms:modified>
</cp:coreProperties>
</file>